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9.xml.rels" ContentType="application/vnd.openxmlformats-package.relationships+xml"/>
  <Override PartName="/xl/worksheets/_rels/sheet8.xml.rels" ContentType="application/vnd.openxmlformats-package.relationships+xml"/>
  <Override PartName="/xl/worksheets/_rels/sheet3.xml.rels" ContentType="application/vnd.openxmlformats-package.relationships+xml"/>
  <Override PartName="/xl/worksheets/_rels/sheet1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_rels/drawing2.xml.rels" ContentType="application/vnd.openxmlformats-package.relationships+xml"/>
  <Override PartName="/xl/drawings/_rels/drawing1.xml.rels" ContentType="application/vnd.openxmlformats-package.relationship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Dashboard" sheetId="2" state="visible" r:id="rId4"/>
    <sheet name="Assumptions" sheetId="3" state="visible" r:id="rId5"/>
    <sheet name="Catalog" sheetId="4" state="visible" r:id="rId6"/>
    <sheet name="Workflow" sheetId="5" state="visible" r:id="rId7"/>
    <sheet name="UnitEconomics" sheetId="6" state="visible" r:id="rId8"/>
    <sheet name="PLBridge" sheetId="7" state="visible" r:id="rId9"/>
    <sheet name="Scenarios" sheetId="8" state="visible" r:id="rId10"/>
    <sheet name="Crossover" sheetId="9" state="visible" r:id="rId11"/>
    <sheet name="Seller" sheetId="10" state="visible" r:id="rId12"/>
    <sheet name="Engine" sheetId="11" state="visible" r:id="rId13"/>
    <sheet name="Sources" sheetId="12" state="visible" r:id="rId14"/>
  </sheet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B5" authorId="0">
      <text>
        <r>
          <rPr>
            <sz val="10"/>
            <rFont val="Arial"/>
            <family val="2"/>
          </rPr>
          <t xml:space="preserve">Count of customers who can create usage this month.</t>
        </r>
      </text>
    </comment>
    <comment ref="B6" authorId="0">
      <text>
        <r>
          <rPr>
            <sz val="10"/>
            <rFont val="Arial"/>
            <family val="2"/>
          </rPr>
          <t xml:space="preserve">Include abandoned and failed attempts. Do not count only completions.</t>
        </r>
      </text>
    </comment>
    <comment ref="B7" authorId="0">
      <text>
        <r>
          <rPr>
            <sz val="10"/>
            <rFont val="Arial"/>
            <family val="2"/>
          </rPr>
          <t xml:space="preserve">If 100 customers start and 92 finish, this is 92%.</t>
        </r>
      </text>
    </comment>
    <comment ref="B13" authorId="0">
      <text>
        <r>
          <rPr>
            <sz val="10"/>
            <rFont val="Arial"/>
            <family val="2"/>
          </rPr>
          <t xml:space="preserve">Flat fee the customer pays regardless of API usage.</t>
        </r>
      </text>
    </comment>
    <comment ref="B14" authorId="0">
      <text>
        <r>
          <rPr>
            <sz val="10"/>
            <rFont val="Arial"/>
            <family val="2"/>
          </rPr>
          <t xml:space="preserve">Set to 0 if you only sell subscriptions. Use this if you also meter outcomes.</t>
        </r>
      </text>
    </comment>
    <comment ref="B15" authorId="0">
      <text>
        <r>
          <rPr>
            <sz val="10"/>
            <rFont val="Arial"/>
            <family val="2"/>
          </rPr>
          <t xml:space="preserve">Yes = add section C into revenue used for GM. No = keep GM on booked revenue only (recommended).</t>
        </r>
      </text>
    </comment>
    <comment ref="B22" authorId="0">
      <text>
        <r>
          <rPr>
            <sz val="10"/>
            <rFont val="Arial"/>
            <family val="2"/>
          </rPr>
          <t xml:space="preserve">Conversion/retention uplift you are willing to defend. 0 if you cannot.</t>
        </r>
      </text>
    </comment>
    <comment ref="B23" authorId="0">
      <text>
        <r>
          <rPr>
            <sz val="10"/>
            <rFont val="Arial"/>
            <family val="2"/>
          </rPr>
          <t xml:space="preserve">Avoided support or ops minutes, monetized.</t>
        </r>
      </text>
    </comment>
    <comment ref="B24" authorId="0">
      <text>
        <r>
          <rPr>
            <sz val="10"/>
            <rFont val="Arial"/>
            <family val="2"/>
          </rPr>
          <t xml:space="preserve">Expected fraud/loss avoided. Net of residual risk.</t>
        </r>
      </text>
    </comment>
    <comment ref="B32" authorId="0">
      <text>
        <r>
          <rPr>
            <sz val="10"/>
            <rFont val="Arial"/>
            <family val="2"/>
          </rPr>
          <t xml:space="preserve">Non-API variable COGS on a completed outcome: compute, egress, payment fees, etc.</t>
        </r>
      </text>
    </comment>
    <comment ref="B33" authorId="0">
      <text>
        <r>
          <rPr>
            <sz val="10"/>
            <rFont val="Arial"/>
            <family val="2"/>
          </rPr>
          <t xml:space="preserve">Usually lower than a success. Do not assume zero.</t>
        </r>
      </text>
    </comment>
    <comment ref="B34" authorId="0">
      <text>
        <r>
          <rPr>
            <sz val="10"/>
            <rFont val="Arial"/>
            <family val="2"/>
          </rPr>
          <t xml:space="preserve">Management allocation only. Finance may classify this differently.</t>
        </r>
      </text>
    </comment>
    <comment ref="B35" authorId="0">
      <text>
        <r>
          <rPr>
            <sz val="10"/>
            <rFont val="Arial"/>
            <family val="2"/>
          </rPr>
          <t xml:space="preserve">Roadmap / keep-the-lights-on product OpEx attributed to this product.</t>
        </r>
      </text>
    </comment>
    <comment ref="B50" authorId="0">
      <text>
        <r>
          <rPr>
            <sz val="10"/>
            <rFont val="Arial"/>
            <family val="2"/>
          </rPr>
          <t xml:space="preserve">Article example default.</t>
        </r>
      </text>
    </comment>
    <comment ref="B51" authorId="0">
      <text>
        <r>
          <rPr>
            <sz val="10"/>
            <rFont val="Arial"/>
            <family val="2"/>
          </rPr>
          <t xml:space="preserve">Article example default.</t>
        </r>
      </text>
    </comment>
    <comment ref="B61" authorId="0">
      <text>
        <r>
          <rPr>
            <sz val="10"/>
            <rFont val="Arial"/>
            <family val="2"/>
          </rPr>
          <t xml:space="preserve">Everything they actually consume, not only what you invoice.</t>
        </r>
      </text>
    </comment>
    <comment ref="B64" authorId="0">
      <text>
        <r>
          <rPr>
            <sz val="10"/>
            <rFont val="Arial"/>
            <family val="2"/>
          </rPr>
          <t xml:space="preserve">Paid on free units too.</t>
        </r>
      </text>
    </comment>
    <comment ref="B65" authorId="0">
      <text>
        <r>
          <rPr>
            <sz val="10"/>
            <rFont val="Arial"/>
            <family val="2"/>
          </rPr>
          <t xml:space="preserve">Paid on free units too.</t>
        </r>
      </text>
    </comment>
    <comment ref="B69" authorId="0">
      <text>
        <r>
          <rPr>
            <sz val="10"/>
            <rFont val="Arial"/>
            <family val="2"/>
          </rPr>
          <t xml:space="preserve">Same price plan, much more usage.</t>
        </r>
      </text>
    </comment>
  </commentList>
</comments>
</file>

<file path=xl/sharedStrings.xml><?xml version="1.0" encoding="utf-8"?>
<sst xmlns="http://schemas.openxmlformats.org/spreadsheetml/2006/main" count="725" uniqueCount="597">
  <si>
    <t xml:space="preserve">API Unit Economics &amp; Product P&amp;L Model</t>
  </si>
  <si>
    <t xml:space="preserve">Companion workbook for “The API Bill Is a Product &amp; Finance Decision”  ·  Version 2.0  ·  August 2026  ·  All sample numbers are fictional.</t>
  </si>
  <si>
    <t xml:space="preserve">What this model is for</t>
  </si>
  <si>
    <t xml:space="preserve">Product leaders use this to answer one question: if an API-dependent feature wins, do the economics get better, stay acceptable, or quietly get worse? It is a management model, not a GAAP statement. Finance still owns official classification and allocations.</t>
  </si>
  <si>
    <t xml:space="preserve">How to use it in 10 minutes</t>
  </si>
  <si>
    <t xml:space="preserve">1</t>
  </si>
  <si>
    <t xml:space="preserve">Read this page</t>
  </si>
  <si>
    <t xml:space="preserve">Color key and sheet map below. Do not type into gray/green/black formula cells.</t>
  </si>
  <si>
    <t xml:space="preserve">2</t>
  </si>
  <si>
    <t xml:space="preserve">Assumptions</t>
  </si>
  <si>
    <t xml:space="preserve">Replace the yellow cells: customers, actions, success rate, prices, value estimates, opex.</t>
  </si>
  <si>
    <t xml:space="preserve">3</t>
  </si>
  <si>
    <t xml:space="preserve">Catalog</t>
  </si>
  <si>
    <t xml:space="preserve">Enter each vendor’s billable unit, variable price, monthly fixed fee, and free allowance.</t>
  </si>
  <si>
    <t xml:space="preserve">4</t>
  </si>
  <si>
    <t xml:space="preserve">Workflow</t>
  </si>
  <si>
    <t xml:space="preserve">Describe one started customer action. Set how often each step runs on a SUCCESS vs a FAIL.</t>
  </si>
  <si>
    <t xml:space="preserve">5</t>
  </si>
  <si>
    <t xml:space="preserve">Dashboard + UnitEconomics</t>
  </si>
  <si>
    <t xml:space="preserve">Read cost per started action, cost per successful outcome (failed work included), margin, and ROI.</t>
  </si>
  <si>
    <t xml:space="preserve">6</t>
  </si>
  <si>
    <t xml:space="preserve">Scenarios</t>
  </si>
  <si>
    <t xml:space="preserve">Compare Base, Growth, Heavy-user, Vendor shock, and Efficiency. Same math everywhere.</t>
  </si>
  <si>
    <t xml:space="preserve">7</t>
  </si>
  <si>
    <t xml:space="preserve">Crossover</t>
  </si>
  <si>
    <t xml:space="preserve">The article example: fixed subscription + usage-driven cost. This is where “success” can destroy margin.</t>
  </si>
  <si>
    <t xml:space="preserve">8</t>
  </si>
  <si>
    <t xml:space="preserve">Seller</t>
  </si>
  <si>
    <t xml:space="preserve">Use only if you also sell an API. Free units still consume upstream and infrastructure cost.</t>
  </si>
  <si>
    <t xml:space="preserve">Color key — only edit yellow cells with blue type</t>
  </si>
  <si>
    <t xml:space="preserve">Yellow + blue type</t>
  </si>
  <si>
    <t xml:space="preserve">INPUT. Change these. Vendor terms, volumes, probabilities, prices.</t>
  </si>
  <si>
    <t xml:space="preserve">Gray + black type</t>
  </si>
  <si>
    <t xml:space="preserve">FORMULA. Calculated on this sheet. Do not overwrite.</t>
  </si>
  <si>
    <t xml:space="preserve">Green type</t>
  </si>
  <si>
    <t xml:space="preserve">LINK. Pulled from another sheet. Edit the source, not the link.</t>
  </si>
  <si>
    <t xml:space="preserve">Green fill</t>
  </si>
  <si>
    <t xml:space="preserve">OUTPUT KPI used on the Dashboard.</t>
  </si>
  <si>
    <t xml:space="preserve">Amber fill</t>
  </si>
  <si>
    <t xml:space="preserve">Watch-out: definition, caveat, or a result that needs judgment.</t>
  </si>
  <si>
    <t xml:space="preserve">Sheet map</t>
  </si>
  <si>
    <t xml:space="preserve">Sheet</t>
  </si>
  <si>
    <t xml:space="preserve">Role</t>
  </si>
  <si>
    <t xml:space="preserve">When to open it</t>
  </si>
  <si>
    <t xml:space="preserve">ReadMe</t>
  </si>
  <si>
    <t xml:space="preserve">You are here.</t>
  </si>
  <si>
    <t xml:space="preserve">First visit</t>
  </si>
  <si>
    <t xml:space="preserve">Dashboard</t>
  </si>
  <si>
    <t xml:space="preserve">One-page scorecard for a product review. Start meetings here.</t>
  </si>
  <si>
    <t xml:space="preserve">Every review</t>
  </si>
  <si>
    <t xml:space="preserve">Control panel for volume, revenue, value lens, opex, scenario drivers, crossover, seller.</t>
  </si>
  <si>
    <t xml:space="preserve">Before any other edit</t>
  </si>
  <si>
    <t xml:space="preserve">Vendor commercial terms. Prices live here so Workflow and Engine stay consistent.</t>
  </si>
  <si>
    <t xml:space="preserve">Vendor renewal or new API</t>
  </si>
  <si>
    <t xml:space="preserve">Bill of materials for ONE started action, split into successful vs failed paths.</t>
  </si>
  <si>
    <t xml:space="preserve">Feature design / retries / cache</t>
  </si>
  <si>
    <t xml:space="preserve">UnitEconomics</t>
  </si>
  <si>
    <t xml:space="preserve">Monthly base-case unit economics. One definition of cost, margin, and ROI.</t>
  </si>
  <si>
    <t xml:space="preserve">Base-case economics</t>
  </si>
  <si>
    <t xml:space="preserve">PLBridge</t>
  </si>
  <si>
    <t xml:space="preserve">Management P&amp;L: booked revenue → cost-to-serve → gross profit → contribution after product OpEx.</t>
  </si>
  <si>
    <t xml:space="preserve">Roadmap vs margin</t>
  </si>
  <si>
    <t xml:space="preserve">Five cases using the Engine. Drivers change; formulas do not.</t>
  </si>
  <si>
    <t xml:space="preserve">Will scale help or hurt?</t>
  </si>
  <si>
    <t xml:space="preserve">Fixed $ revenue vs usage-driven cost. The article’s 10k / 50k / 100k example plus a curve.</t>
  </si>
  <si>
    <t xml:space="preserve">Fixed-price plans</t>
  </si>
  <si>
    <t xml:space="preserve">If you monetize an API. Free allowance cuts revenue, not cost.</t>
  </si>
  <si>
    <t xml:space="preserve">You sell the API too</t>
  </si>
  <si>
    <t xml:space="preserve">Engine</t>
  </si>
  <si>
    <t xml:space="preserve">Scenario math at service level. Read-only. Explains how cache and retries are applied.</t>
  </si>
  <si>
    <t xml:space="preserve">Only if a number looks wrong</t>
  </si>
  <si>
    <t xml:space="preserve">Sources</t>
  </si>
  <si>
    <t xml:space="preserve">Frameworks cited in the article.</t>
  </si>
  <si>
    <t xml:space="preserve">Citation / further reading</t>
  </si>
  <si>
    <t xml:space="preserve">Rules this version enforces — these match the article</t>
  </si>
  <si>
    <t xml:space="preserve">•  Cost the outcome, not the call. The economic unit is a successful customer outcome. API calls are the bill of materials underneath it.</t>
  </si>
  <si>
    <t xml:space="preserve">•  Failed work still costs money. Cost per successful outcome = cost of successes plus the cost of failures spread over the successes.</t>
  </si>
  <si>
    <t xml:space="preserve">•  Unlike billable units are added, not multiplied. Cost = (calls × $/call) + (token-units × $/unit) + (messages × $/message).</t>
  </si>
  <si>
    <t xml:space="preserve">•  Free allowances reduce billable units on the consumer side. They do not make consumed work free on the seller side.</t>
  </si>
  <si>
    <t xml:space="preserve">•  Fixed monthly fees belong in unit cost. Effective cost per outcome = (variable API after free units + fixed fees + other delivery) / outcomes.</t>
  </si>
  <si>
    <t xml:space="preserve">•  One revenue definition and one gross-margin definition everywhere. Attributed “value” (labor, risk, incremental revenue) sits in the ROI lens, not in booked GM, unless you turn that toggle on.</t>
  </si>
  <si>
    <t xml:space="preserve">•  Scenario drivers change inputs. They do not silently change formulas. Cache improvements apply only to cacheable steps.</t>
  </si>
  <si>
    <t xml:space="preserve">•  This is not Finance’s official P&amp;L. Do not ship these labels into an audit package without Finance.</t>
  </si>
  <si>
    <t xml:space="preserve">What “ROI” means here</t>
  </si>
  <si>
    <t xml:space="preserve">ROI on API spend = (Attributed incremental revenue + labor savings + risk-loss reduction − API spend) ÷ API spend. Subscription revenue is excluded from the numerator because it usually exists with or without this particular API mix. Labor and risk figures are management estimates, not booked income. If you cannot defend them, set them to 0 and read margin only.</t>
  </si>
  <si>
    <t xml:space="preserve">What this model will not do</t>
  </si>
  <si>
    <t xml:space="preserve">It will not choose build vs buy, negotiate a vendor contract, or replace telemetry. It will not allocate shared cloud spend with audit-grade precision. It will not automatically detect runaway customer scripts. Use it to make the bet visible, then instrument production.</t>
  </si>
  <si>
    <t xml:space="preserve">Dashboard — API economics as a product decision</t>
  </si>
  <si>
    <t xml:space="preserve">Base case unless noted. Change yellow cells on Assumptions, Catalog, and Workflow; then return here.</t>
  </si>
  <si>
    <t xml:space="preserve">Headline KPIs — base case</t>
  </si>
  <si>
    <t xml:space="preserve">Active customers</t>
  </si>
  <si>
    <t xml:space="preserve">API $ / started action</t>
  </si>
  <si>
    <t xml:space="preserve">API $ / successful outcome</t>
  </si>
  <si>
    <t xml:space="preserve">Cost-to-serve / customer</t>
  </si>
  <si>
    <t xml:space="preserve">Gross margin</t>
  </si>
  <si>
    <t xml:space="preserve">ROI on API spend</t>
  </si>
  <si>
    <t xml:space="preserve">Money flows — base month</t>
  </si>
  <si>
    <t xml:space="preserve">Booked revenue</t>
  </si>
  <si>
    <t xml:space="preserve">API spend</t>
  </si>
  <si>
    <t xml:space="preserve">Cost-to-serve</t>
  </si>
  <si>
    <t xml:space="preserve">Gross profit</t>
  </si>
  <si>
    <t xml:space="preserve">Contribution after product OpEx</t>
  </si>
  <si>
    <t xml:space="preserve">Quantified value (ROI lens)</t>
  </si>
  <si>
    <t xml:space="preserve">Workflow — variable API cost by path</t>
  </si>
  <si>
    <t xml:space="preserve">Var $ / successful path</t>
  </si>
  <si>
    <t xml:space="preserve">Var $ / failed path</t>
  </si>
  <si>
    <t xml:space="preserve">Failed-work burden / success</t>
  </si>
  <si>
    <t xml:space="preserve">Identity check</t>
  </si>
  <si>
    <t xml:space="preserve">Decision questions</t>
  </si>
  <si>
    <t xml:space="preserve">If this feature wins, does cost per successful outcome rise or fall?</t>
  </si>
  <si>
    <t xml:space="preserve">Does the heavy-user tail still clear a positive margin?</t>
  </si>
  <si>
    <t xml:space="preserve">Does a 25% vendor increase break the story?</t>
  </si>
  <si>
    <t xml:space="preserve">Is quantified value paying for the API?</t>
  </si>
  <si>
    <t xml:space="preserve">Would a $100 fixed plan with this article’s $0.002 call cost survive 100k calls?</t>
  </si>
  <si>
    <t xml:space="preserve">Present this page with Scenarios charts and the Crossover chart. Do not present Engine. Send Finance PLBridge if they want the bridge, and tell them it is a management view.</t>
  </si>
  <si>
    <t xml:space="preserve">Scenario snapshot</t>
  </si>
  <si>
    <t xml:space="preserve">Scenario</t>
  </si>
  <si>
    <t xml:space="preserve">API $ / success</t>
  </si>
  <si>
    <t xml:space="preserve">ROI on API</t>
  </si>
  <si>
    <t xml:space="preserve">Field key — what the scoreboard tiles mean</t>
  </si>
  <si>
    <t xml:space="preserve">These definitions match UnitEconomics and Scenarios. Yellow inputs live on Assumptions, Catalog, and Workflow. Do not type into the tiles.</t>
  </si>
  <si>
    <t xml:space="preserve">Row 5 — headline KPIs (base case)</t>
  </si>
  <si>
    <t xml:space="preserve">Accounts that can create usage this month. Headcount everything else scales from. Not “customers who finished the workflow.” Sample default: 25,000.</t>
  </si>
  <si>
    <t xml:space="preserve">Total API spend this month (variable cost after free allowances + fixed vendor fees) divided by every started action, including later failures. What one attempt costs before you know if it worked.</t>
  </si>
  <si>
    <t xml:space="preserve">Same API spend divided only by completions. Failed-path API cost is loaded onto successes. This is the article’s “cost the outcome, not the call” number.</t>
  </si>
  <si>
    <t xml:space="preserve">API spend + other variable delivery (successes and failures) + allocated support &amp; infrastructure, divided by active customers. Compare to subscription revenue per customer.</t>
  </si>
  <si>
    <t xml:space="preserve">Management gross profit ÷ booked product revenue. Booked = subscriptions + invoiced usage. Labor savings, risk avoided, and hoped-for conversion uplift are NOT in this tile unless the Assumptions toggle is Yes.</t>
  </si>
  <si>
    <t xml:space="preserve">(Attributed incremental revenue + labor savings + risk-loss reduction − API spend) ÷ API spend. Subscription is left out of the numerator on purpose. If you cannot defend those benefits, set them to $0 and ignore this tile.</t>
  </si>
  <si>
    <t xml:space="preserve">Row 9 — money flows for the same base month</t>
  </si>
  <si>
    <t xml:space="preserve">Cash Finance would recognize from this product this month: customer count × subscription price, plus any metered usage you actually invoice. Default sample invoices subscription only ($24 × customers).</t>
  </si>
  <si>
    <t xml:space="preserve">Vendor bill for the month: variable API cost after free units + Catalog fixed fees. This is the denominator of ROI and part of cost-to-serve.</t>
  </si>
  <si>
    <t xml:space="preserve">Full attributed delivery cost: API spend + other variable delivery + allocated support &amp; infrastructure. Does not include product/engineering “build” OpEx.</t>
  </si>
  <si>
    <t xml:space="preserve">Revenue used for margin minus cost-to-serve. On the recommended toggle (No), revenue used = booked revenue only.</t>
  </si>
  <si>
    <t xml:space="preserve">Gross profit minus the monthly product + engineering operating investment. Useful for prioritization. Not statutory operating profit.</t>
  </si>
  <si>
    <t xml:space="preserve">Management estimates only: attributed incremental revenue + labor savings + risk-loss reduction. Not booked cash. Used in ROI, not in gross margin (unless you flip the toggle).</t>
  </si>
  <si>
    <t xml:space="preserve">Row 25 — scenario snapshot columns</t>
  </si>
  <si>
    <t xml:space="preserve">Name of the case from Assumptions section E: Base, Growth, Heavy-user tail, Vendor +25%, Efficiency. Base must match the tiles above.</t>
  </si>
  <si>
    <t xml:space="preserve">That scenario’s total API spend ÷ successful outcomes. Compare across rows: if Growth is higher than Base, scale is making unit cost worse.</t>
  </si>
  <si>
    <t xml:space="preserve">Same definition as the Row 5 Gross margin tile, recalculated on that scenario’s volume, vendor prices, retries, and cache. Color scale on the Scenarios sheet is the same number.</t>
  </si>
  <si>
    <t xml:space="preserve">Same definition as the Row 5 ROI tile, using that scenario’s API spend and the same per-success value assumptions.</t>
  </si>
  <si>
    <t xml:space="preserve">Row 13 on this page (not in the tiles): variable API cost of a successful path vs a failed path, plus the failed-work dollars loaded onto each success. Identity check must say OK.</t>
  </si>
  <si>
    <t xml:space="preserve">Assumptions — control panel</t>
  </si>
  <si>
    <t xml:space="preserve">Yellow + blue type = edit. Everything else in the workbook should flow from this sheet, Catalog, and Workflow.</t>
  </si>
  <si>
    <t xml:space="preserve">A. Product volume (base case)</t>
  </si>
  <si>
    <t xml:space="preserve">Monthly active customers</t>
  </si>
  <si>
    <t xml:space="preserve">Count of customers who can create usage this month.</t>
  </si>
  <si>
    <t xml:space="preserve">Actions started per customer per month</t>
  </si>
  <si>
    <t xml:space="preserve">Include abandoned and failed attempts. Do not count only completions.</t>
  </si>
  <si>
    <t xml:space="preserve">Success rate (started action → successful outcome)</t>
  </si>
  <si>
    <t xml:space="preserve">If 100 customers start and 92 finish, this is 92%.</t>
  </si>
  <si>
    <t xml:space="preserve">Total actions started / month</t>
  </si>
  <si>
    <t xml:space="preserve">customers × actions started</t>
  </si>
  <si>
    <t xml:space="preserve">Successful outcomes / month</t>
  </si>
  <si>
    <t xml:space="preserve">started actions × success rate</t>
  </si>
  <si>
    <t xml:space="preserve">Failed or abandoned actions / month</t>
  </si>
  <si>
    <t xml:space="preserve">started − successful</t>
  </si>
  <si>
    <t xml:space="preserve">B. Booked revenue (what Finance would recognize from this product)</t>
  </si>
  <si>
    <t xml:space="preserve">Subscription revenue per customer per month</t>
  </si>
  <si>
    <t xml:space="preserve">Fixed price plan. Usage may still be variable cost underneath.</t>
  </si>
  <si>
    <t xml:space="preserve">Booked usage revenue per successful outcome</t>
  </si>
  <si>
    <t xml:space="preserve">Leave at 0 for a pure subscription. Do not put “hoped-for uplift” here.</t>
  </si>
  <si>
    <t xml:space="preserve">Include attributed value inside management gross margin?</t>
  </si>
  <si>
    <t xml:space="preserve">No</t>
  </si>
  <si>
    <t xml:space="preserve">Recommended: No. Keep attributed labor/risk/uplift in the ROI lens only.</t>
  </si>
  <si>
    <t xml:space="preserve">Subscription revenue / month</t>
  </si>
  <si>
    <t xml:space="preserve">Booked usage revenue / month</t>
  </si>
  <si>
    <t xml:space="preserve">Booked product revenue / month</t>
  </si>
  <si>
    <t xml:space="preserve">C. Value lens (management estimates — not booked revenue unless the toggle above is Yes)</t>
  </si>
  <si>
    <t xml:space="preserve">Use these for ROI and “is the API worth it?” Do not treat them as cash until Finance agrees on attribution.</t>
  </si>
  <si>
    <t xml:space="preserve">Attributed incremental revenue per successful outcome</t>
  </si>
  <si>
    <t xml:space="preserve">Labor savings per successful outcome</t>
  </si>
  <si>
    <t xml:space="preserve">Risk-loss reduction per successful outcome</t>
  </si>
  <si>
    <t xml:space="preserve">Total quantified value per successful outcome</t>
  </si>
  <si>
    <t xml:space="preserve">Attributed incremental revenue / month</t>
  </si>
  <si>
    <t xml:space="preserve">Labor savings / month</t>
  </si>
  <si>
    <t xml:space="preserve">Risk-loss reduction / month</t>
  </si>
  <si>
    <t xml:space="preserve">Total quantified value / month</t>
  </si>
  <si>
    <t xml:space="preserve">D. Other delivery cost and product investment</t>
  </si>
  <si>
    <t xml:space="preserve">Other variable delivery cost per successful outcome</t>
  </si>
  <si>
    <t xml:space="preserve">Other variable delivery cost per failed action</t>
  </si>
  <si>
    <t xml:space="preserve">Allocated support &amp; infrastructure per customer / month</t>
  </si>
  <si>
    <t xml:space="preserve">Product + engineering operating investment / month</t>
  </si>
  <si>
    <t xml:space="preserve">Other variable delivery cost / month</t>
  </si>
  <si>
    <t xml:space="preserve">Allocated support &amp; infrastructure / month</t>
  </si>
  <si>
    <t xml:space="preserve">E. Scenario drivers (used by Scenarios + Engine). Base should match section A.</t>
  </si>
  <si>
    <t xml:space="preserve">Cache-hit delta is added only to steps marked cacheable on Catalog. Retry multiplier scales each step’s retry rate. Vendor price multiplier scales Catalog variable prices.</t>
  </si>
  <si>
    <t xml:space="preserve">Customers</t>
  </si>
  <si>
    <t xml:space="preserve">Actions / cust</t>
  </si>
  <si>
    <t xml:space="preserve">Success rate</t>
  </si>
  <si>
    <t xml:space="preserve">Vendor price ×</t>
  </si>
  <si>
    <t xml:space="preserve">Retry rate ×</t>
  </si>
  <si>
    <t xml:space="preserve">Cache-hit delta</t>
  </si>
  <si>
    <t xml:space="preserve">Sub $ / cust</t>
  </si>
  <si>
    <t xml:space="preserve">Notes</t>
  </si>
  <si>
    <t xml:space="preserve">Purpose</t>
  </si>
  <si>
    <t xml:space="preserve">Base</t>
  </si>
  <si>
    <t xml:space="preserve">Current planning case. Leave multipliers at 1.00 / 0.00.</t>
  </si>
  <si>
    <t xml:space="preserve">Must stay linked to section A</t>
  </si>
  <si>
    <t xml:space="preserve">Growth</t>
  </si>
  <si>
    <t xml:space="preserve">More customers and actions; modest vendor discount and extra cache.</t>
  </si>
  <si>
    <t xml:space="preserve">Heavy-user tail</t>
  </si>
  <si>
    <t xml:space="preserve">Same headcount, much more usage, more retries, worse cache.</t>
  </si>
  <si>
    <t xml:space="preserve">Vendor +25%</t>
  </si>
  <si>
    <t xml:space="preserve">Price shock on variable vendor rates. Volume unchanged.</t>
  </si>
  <si>
    <t xml:space="preserve">Efficiency</t>
  </si>
  <si>
    <t xml:space="preserve">Fewer retries, more cache on cacheable steps, slight vendor improvement.</t>
  </si>
  <si>
    <t xml:space="preserve">F. Negative-margin crossover (article example — independent of the product above)</t>
  </si>
  <si>
    <t xml:space="preserve">This is the $100 subscription / $0.002 per call story. It is intentionally a different product so the warning stays visible even when the base-case SaaS margins look healthy.</t>
  </si>
  <si>
    <t xml:space="preserve">Fixed subscription revenue per customer per month</t>
  </si>
  <si>
    <t xml:space="preserve">Variable delivery cost per API call</t>
  </si>
  <si>
    <t xml:space="preserve">Illustration point A — calls / month</t>
  </si>
  <si>
    <t xml:space="preserve">Illustration point B — calls / month</t>
  </si>
  <si>
    <t xml:space="preserve">Illustration point C — calls / month</t>
  </si>
  <si>
    <t xml:space="preserve">Curve start (calls)</t>
  </si>
  <si>
    <t xml:space="preserve">Curve step (calls)</t>
  </si>
  <si>
    <t xml:space="preserve">Break-even calls / month</t>
  </si>
  <si>
    <t xml:space="preserve">subscription ÷ cost per call</t>
  </si>
  <si>
    <t xml:space="preserve">G. Seller economics (only if you also sell an API)</t>
  </si>
  <si>
    <t xml:space="preserve">Paying API customers / month</t>
  </si>
  <si>
    <t xml:space="preserve">Units consumed per customer / month (including free)</t>
  </si>
  <si>
    <t xml:space="preserve">Free allowance per customer / month</t>
  </si>
  <si>
    <t xml:space="preserve">Price per billable unit</t>
  </si>
  <si>
    <t xml:space="preserve">Upstream third-party cost per unit consumed</t>
  </si>
  <si>
    <t xml:space="preserve">Infrastructure cost per unit consumed</t>
  </si>
  <si>
    <t xml:space="preserve">Support allocation per customer / month</t>
  </si>
  <si>
    <t xml:space="preserve">Fixed platform cost / month</t>
  </si>
  <si>
    <t xml:space="preserve">Sales / success allocation / month</t>
  </si>
  <si>
    <t xml:space="preserve">Heavy-user units consumed / customer</t>
  </si>
  <si>
    <t xml:space="preserve">Named ranges are not required. Other sheets reference these cells directly (Assumptions!B5, Catalog!E5, etc.).</t>
  </si>
  <si>
    <t xml:space="preserve">API catalog — vendor commercial terms</t>
  </si>
  <si>
    <t xml:space="preserve">One row per service. Workflow and Engine read price, fixed fee, free allowance, and cacheable flag from here. Add rows only if you also extend Workflow and Engine.</t>
  </si>
  <si>
    <t xml:space="preserve">Consumer APIs used by the product workflow</t>
  </si>
  <si>
    <t xml:space="preserve">Service</t>
  </si>
  <si>
    <t xml:space="preserve">Vendor</t>
  </si>
  <si>
    <t xml:space="preserve">Pricing unit</t>
  </si>
  <si>
    <t xml:space="preserve">Variable price / unit</t>
  </si>
  <si>
    <t xml:space="preserve">Fixed fee / month</t>
  </si>
  <si>
    <t xml:space="preserve">Free units / month</t>
  </si>
  <si>
    <t xml:space="preserve">Cacheable?</t>
  </si>
  <si>
    <t xml:space="preserve">Owner</t>
  </si>
  <si>
    <t xml:space="preserve">Cost behavior</t>
  </si>
  <si>
    <t xml:space="preserve">Geocoding</t>
  </si>
  <si>
    <t xml:space="preserve">Example Vendor A</t>
  </si>
  <si>
    <t xml:space="preserve">Consumer</t>
  </si>
  <si>
    <t xml:space="preserve">request</t>
  </si>
  <si>
    <t xml:space="preserve">Yes</t>
  </si>
  <si>
    <t xml:space="preserve">Product Platform</t>
  </si>
  <si>
    <t xml:space="preserve">Place text → coordinates. Free 10,000 requests then $0.004.</t>
  </si>
  <si>
    <t xml:space="preserve">Risk / Verification</t>
  </si>
  <si>
    <t xml:space="preserve">Example Vendor B</t>
  </si>
  <si>
    <t xml:space="preserve">verification</t>
  </si>
  <si>
    <t xml:space="preserve">Risk Product</t>
  </si>
  <si>
    <t xml:space="preserve">Expensive step. Runs on only some actions. $500 monthly minimum.</t>
  </si>
  <si>
    <t xml:space="preserve">AI Model</t>
  </si>
  <si>
    <t xml:space="preserve">Example Vendor C</t>
  </si>
  <si>
    <t xml:space="preserve">1K blended tokens</t>
  </si>
  <si>
    <t xml:space="preserve">AI Platform</t>
  </si>
  <si>
    <t xml:space="preserve">Blended 1K-token unit for the demo. Replace with real in/out rates if you have them.</t>
  </si>
  <si>
    <t xml:space="preserve">Notification</t>
  </si>
  <si>
    <t xml:space="preserve">Example Vendor D</t>
  </si>
  <si>
    <t xml:space="preserve">message</t>
  </si>
  <si>
    <t xml:space="preserve">Communications</t>
  </si>
  <si>
    <t xml:space="preserve">SMS/email/push. $100 platform fee + 5,000 free messages.</t>
  </si>
  <si>
    <t xml:space="preserve">Total consumer fixed fees / month</t>
  </si>
  <si>
    <t xml:space="preserve">Free units reduce billable consumer usage (see Engine). They are not applied inside the per-action Workflow grid, because an allowance is a monthly account-level object, not a property of one click.</t>
  </si>
  <si>
    <t xml:space="preserve">Optional: API you sell (informational — Seller sheet uses Assumptions section G)</t>
  </si>
  <si>
    <t xml:space="preserve">List price / unit</t>
  </si>
  <si>
    <t xml:space="preserve">Our Partner API</t>
  </si>
  <si>
    <t xml:space="preserve">Our Company</t>
  </si>
  <si>
    <t xml:space="preserve">billable unit</t>
  </si>
  <si>
    <t xml:space="preserve">0</t>
  </si>
  <si>
    <t xml:space="preserve">n/a</t>
  </si>
  <si>
    <t xml:space="preserve">API Product</t>
  </si>
  <si>
    <t xml:space="preserve">Revenue</t>
  </si>
  <si>
    <t xml:space="preserve">Commercial terms edited on Assumptions section G, not here.</t>
  </si>
  <si>
    <t xml:space="preserve">Important limitation — usage tiers are not in this catalog</t>
  </si>
  <si>
    <t xml:space="preserve">These rows model one variable price, one monthly fixed fee, and one free-unit allowance per service. That is enough to teach unit cost, failed-work loading, and the crossover problem.
Real vendor contracts often add volume tiers (price drops after N units), prepaid commitments, overage rates above a plan cap, peak vs off-peak rates, separate input/output token prices, per-region rates, reserved capacity, and annual true-ups. This workbook does not apply those schedules. If your vendor is tiered, either (a) put a blended effective price in “Variable price / unit” that matches expected volume, or (b) extend Catalog + Engine with tier breakpoints before you use the outputs in a live vendor negotiation.
Do not treat a single Catalog price as “what we will pay at 10× scale” unless you have confirmed the tier that volume actually lands in.</t>
  </si>
  <si>
    <t xml:space="preserve">Workflow bill of materials — cost the outcome, not the call</t>
  </si>
  <si>
    <t xml:space="preserve">Describe ONE started customer action. Successful and failed paths are separate because abandoned work usually dies before the expensive steps.</t>
  </si>
  <si>
    <t xml:space="preserve">Expected vendor calls on a path = P(step runs on that path) × base calls × (1 + retry rate) × (1 − cache hit rate). Expected billable units = vendor calls × billable units per call. Expected variable cost = billable units × Catalog price. Monthly free allowances and fixed fees are applied later on UnitEconomics / Engine — not in this grid.</t>
  </si>
  <si>
    <t xml:space="preserve">Yellow columns are the design of the workflow. Green columns are Catalog links. Gray columns are the math.</t>
  </si>
  <si>
    <t xml:space="preserve">Step</t>
  </si>
  <si>
    <t xml:space="preserve">P(run | success)</t>
  </si>
  <si>
    <t xml:space="preserve">P(run | fail)</t>
  </si>
  <si>
    <t xml:space="preserve">Base calls / attempt</t>
  </si>
  <si>
    <t xml:space="preserve">Retry rate</t>
  </si>
  <si>
    <t xml:space="preserve">Cache hit rate</t>
  </si>
  <si>
    <t xml:space="preserve">Billable units / call</t>
  </si>
  <si>
    <t xml:space="preserve">Unit price</t>
  </si>
  <si>
    <t xml:space="preserve">Calls / success</t>
  </si>
  <si>
    <t xml:space="preserve">Units / success</t>
  </si>
  <si>
    <t xml:space="preserve">Var $ / success</t>
  </si>
  <si>
    <t xml:space="preserve">Calls / fail</t>
  </si>
  <si>
    <t xml:space="preserve">Units / fail</t>
  </si>
  <si>
    <t xml:space="preserve">Var $ / fail</t>
  </si>
  <si>
    <t xml:space="preserve">Why this step exists</t>
  </si>
  <si>
    <t xml:space="preserve">Always resolve the place. Failures usually happen after this.</t>
  </si>
  <si>
    <t xml:space="preserve">Only some actions need verification. Many abandons never reach it.</t>
  </si>
  <si>
    <t xml:space="preserve">~4 blended 1K-token units when the step runs. Failures often stop earlier.</t>
  </si>
  <si>
    <t xml:space="preserve">Mostly a success-path cost. Rarely sent on an abandoned action.</t>
  </si>
  <si>
    <t xml:space="preserve">Path totals (variable only)</t>
  </si>
  <si>
    <t xml:space="preserve">What one started action costs, and what we load onto each success</t>
  </si>
  <si>
    <t xml:space="preserve">Variable API cost per successful path</t>
  </si>
  <si>
    <t xml:space="preserve">Sum of column “Var $ / success”</t>
  </si>
  <si>
    <t xml:space="preserve">Variable API cost per failed path</t>
  </si>
  <si>
    <t xml:space="preserve">Sum of column “Var $ / fail”</t>
  </si>
  <si>
    <t xml:space="preserve">Variable API cost per started action</t>
  </si>
  <si>
    <t xml:space="preserve">success rate × cost_success + (1 − success rate) × cost_fail</t>
  </si>
  <si>
    <t xml:space="preserve">Failed-work burden loaded onto each success</t>
  </si>
  <si>
    <t xml:space="preserve">How much failed-path spend each completion has to carry</t>
  </si>
  <si>
    <t xml:space="preserve">Variable API cost per successful outcome, including failed work</t>
  </si>
  <si>
    <t xml:space="preserve">Equals cost per started action ÷ success rate</t>
  </si>
  <si>
    <t xml:space="preserve">Check: started cost ÷ success rate</t>
  </si>
  <si>
    <t xml:space="preserve">Must match C20. If it does not, the sheet is broken.</t>
  </si>
  <si>
    <t xml:space="preserve">Do not multiply calls × tokens × messages. Geocoding is priced per request, AI per 1K-token unit, notification per message. Each step converts to dollars on its own price, then the dollars are added. That is the bill of materials.</t>
  </si>
  <si>
    <t xml:space="preserve">Base-case unit economics — monthly</t>
  </si>
  <si>
    <t xml:space="preserve">One definition of cost, booked margin, and API ROI. Driven by Assumptions + Workflow + Engine Base row.</t>
  </si>
  <si>
    <t xml:space="preserve">Volume and booked revenue</t>
  </si>
  <si>
    <t xml:space="preserve">From Assumptions A.</t>
  </si>
  <si>
    <t xml:space="preserve">Actions started / customer</t>
  </si>
  <si>
    <t xml:space="preserve">Actions started / month</t>
  </si>
  <si>
    <t xml:space="preserve">Failed actions / month</t>
  </si>
  <si>
    <t xml:space="preserve">Subscription + booked usage. Not attributed value.</t>
  </si>
  <si>
    <t xml:space="preserve">Booked revenue / customer</t>
  </si>
  <si>
    <t xml:space="preserve">API cost (variable after free units + monthly fixed fees)</t>
  </si>
  <si>
    <t xml:space="preserve">Variable API cost / month (after free units)</t>
  </si>
  <si>
    <t xml:space="preserve">Engine Base total. Free allowances already subtracted.</t>
  </si>
  <si>
    <t xml:space="preserve">Fixed API fees / month</t>
  </si>
  <si>
    <t xml:space="preserve">Sum of Catalog fixed fees.</t>
  </si>
  <si>
    <t xml:space="preserve">Total API spend / month</t>
  </si>
  <si>
    <t xml:space="preserve">Numerator piece for ROI.</t>
  </si>
  <si>
    <t xml:space="preserve">API cost per started action</t>
  </si>
  <si>
    <t xml:space="preserve">Includes fixed fees spread over all starts.</t>
  </si>
  <si>
    <t xml:space="preserve">API cost per successful outcome (failed work + fixed fees included)</t>
  </si>
  <si>
    <t xml:space="preserve">The headline unit cost.</t>
  </si>
  <si>
    <t xml:space="preserve">Variable-only API cost per successful outcome</t>
  </si>
  <si>
    <t xml:space="preserve">Shown so you can see the fixed-fee load separately.</t>
  </si>
  <si>
    <t xml:space="preserve">Full cost-to-serve</t>
  </si>
  <si>
    <t xml:space="preserve">Other variable delivery / month</t>
  </si>
  <si>
    <t xml:space="preserve">Successes and failures use different per-action rates.</t>
  </si>
  <si>
    <t xml:space="preserve">Management allocation.</t>
  </si>
  <si>
    <t xml:space="preserve">Total attributed cost-to-serve / month</t>
  </si>
  <si>
    <t xml:space="preserve">API + other variable + allocated support.</t>
  </si>
  <si>
    <t xml:space="preserve">Cost-to-serve per customer</t>
  </si>
  <si>
    <t xml:space="preserve">Cost-to-serve per successful outcome</t>
  </si>
  <si>
    <t xml:space="preserve">Management gross margin (booked view unless toggle = Yes)</t>
  </si>
  <si>
    <t xml:space="preserve">Revenue used for margin</t>
  </si>
  <si>
    <t xml:space="preserve">Booked revenue, plus section C value only if the toggle is Yes.</t>
  </si>
  <si>
    <t xml:space="preserve">Management gross profit</t>
  </si>
  <si>
    <t xml:space="preserve">Management gross margin</t>
  </si>
  <si>
    <t xml:space="preserve">Gross profit per customer</t>
  </si>
  <si>
    <t xml:space="preserve">Product + engineering OpEx / month</t>
  </si>
  <si>
    <t xml:space="preserve">Contribution profit after product OpEx</t>
  </si>
  <si>
    <t xml:space="preserve">Contribution margin</t>
  </si>
  <si>
    <t xml:space="preserve">ROI lens — is the API spend earning its keep?</t>
  </si>
  <si>
    <t xml:space="preserve">Numerator is attributed value only (incremental revenue + labor + risk). Subscription is excluded on purpose. Set those assumptions to 0 if you cannot defend them.</t>
  </si>
  <si>
    <t xml:space="preserve">Quantified value / month</t>
  </si>
  <si>
    <t xml:space="preserve">API spend / month</t>
  </si>
  <si>
    <t xml:space="preserve">Net quantified benefit / month</t>
  </si>
  <si>
    <t xml:space="preserve">(value − API spend) ÷ API spend. 4.00x means $4 net benefit per $1 of API spend.</t>
  </si>
  <si>
    <t xml:space="preserve">Value per successful outcome vs API cost per successful outcome</t>
  </si>
  <si>
    <t xml:space="preserve">Positive = quantified value more than covers fully loaded API unit cost.</t>
  </si>
  <si>
    <t xml:space="preserve">Read this as a product person</t>
  </si>
  <si>
    <t xml:space="preserve">Does usage look cheap per call but material per outcome?</t>
  </si>
  <si>
    <t xml:space="preserve">Are failures cheap or expensive?</t>
  </si>
  <si>
    <t xml:space="preserve">Product-level management P&amp;L bridge</t>
  </si>
  <si>
    <t xml:space="preserve">Not the company’s official P&amp;L. Same margin definition as UnitEconomics.</t>
  </si>
  <si>
    <t xml:space="preserve">Line item</t>
  </si>
  <si>
    <t xml:space="preserve">Monthly amount</t>
  </si>
  <si>
    <t xml:space="preserve">% of margin revenue</t>
  </si>
  <si>
    <t xml:space="preserve">Classification lens</t>
  </si>
  <si>
    <t xml:space="preserve">Subscription revenue</t>
  </si>
  <si>
    <t xml:space="preserve">Product / Sales</t>
  </si>
  <si>
    <t xml:space="preserve">What customers pay as a flat recurring fee this month (customers × subscription price). Does not move when usage spikes.</t>
  </si>
  <si>
    <t xml:space="preserve">Booked usage revenue</t>
  </si>
  <si>
    <t xml:space="preserve">What you invoice per successful outcome if the product is metered. $0 in the sample because the demo is a subscription plan.</t>
  </si>
  <si>
    <t xml:space="preserve">Attributed value included in margin revenue</t>
  </si>
  <si>
    <t xml:space="preserve">Attribution (optional)</t>
  </si>
  <si>
    <t xml:space="preserve">Product / Finance</t>
  </si>
  <si>
    <t xml:space="preserve">Optional. Adds labor savings, risk reduction, and attributed uplift into the revenue used for margin. Stays $0 unless Assumptions B15 = Yes. Prefer leaving it out of GM.</t>
  </si>
  <si>
    <t xml:space="preserve">The denominator for every % in column C and the revenue side of gross profit. Equals booked revenue, plus row 7 only if the toggle is Yes. Must match UnitEconomics.</t>
  </si>
  <si>
    <t xml:space="preserve">Variable API costs (after free units)</t>
  </si>
  <si>
    <t xml:space="preserve">Potential direct cost</t>
  </si>
  <si>
    <t xml:space="preserve">Product / Engineering</t>
  </si>
  <si>
    <t xml:space="preserve">Usage-driven vendor charges after monthly free allowances. Maps, risk, AI tokens, notifications, and any other Catalog consumer APIs.</t>
  </si>
  <si>
    <t xml:space="preserve">Fixed API fees</t>
  </si>
  <si>
    <t xml:space="preserve">Product / Procurement</t>
  </si>
  <si>
    <t xml:space="preserve">Catalog monthly minimums and platform fees (sample: $500 risk + $100 notifications = $600). Spread across outcomes in unit cost; shown as its own line here.</t>
  </si>
  <si>
    <t xml:space="preserve">Other variable delivery</t>
  </si>
  <si>
    <t xml:space="preserve">Product / Operations</t>
  </si>
  <si>
    <t xml:space="preserve">Non-API variable COGS: compute, egress, payment fees, etc. Successes and failures use different per-action rates from Assumptions.</t>
  </si>
  <si>
    <t xml:space="preserve">Allocated support &amp; infrastructure</t>
  </si>
  <si>
    <t xml:space="preserve">Allocated service cost</t>
  </si>
  <si>
    <t xml:space="preserve">Finance / Platform</t>
  </si>
  <si>
    <t xml:space="preserve">Shared support, platform, and infra assigned to this product for management analysis. Finance may book this elsewhere. Not “gross profit” in a statutory sense by itself.</t>
  </si>
  <si>
    <t xml:space="preserve">Total attributed cost-to-serve</t>
  </si>
  <si>
    <t xml:space="preserve">Management cost of service</t>
  </si>
  <si>
    <t xml:space="preserve">Sum of rows 9–12. The product’s attributed cost to deliver this month. Management label only — not GAAP COGS.</t>
  </si>
  <si>
    <t xml:space="preserve">Row 8 minus row 13. Money left after delivery cost and before product/engineering investment.</t>
  </si>
  <si>
    <t xml:space="preserve">Management margin</t>
  </si>
  <si>
    <t xml:space="preserve">Row 14 ÷ row 8. Same figure as Dashboard “Gross margin.” Column C repeats the ratio; it is not divided by revenue again.</t>
  </si>
  <si>
    <t xml:space="preserve">Product + engineering OpEx</t>
  </si>
  <si>
    <t xml:space="preserve">Operating expense</t>
  </si>
  <si>
    <t xml:space="preserve">Roadmap and keep-the-lights-on product/engineering spend attributed to this product. Below the gross-profit line on purpose so “build” is not mixed into cost-to-serve.</t>
  </si>
  <si>
    <t xml:space="preserve">Management contribution</t>
  </si>
  <si>
    <t xml:space="preserve">Row 14 minus row 16. Contribution after you pay to keep building the product. Use it to compare investments, not as audit profit.</t>
  </si>
  <si>
    <t xml:space="preserve">Row 17 ÷ row 8. How much of margin-revenue remains after delivery cost and product OpEx.</t>
  </si>
  <si>
    <t xml:space="preserve">Cost-to-serve does not include “build.” Product/engineering investment is below the gross-profit line as OpEx. That avoids the double-count the previous model’s graphic invited.</t>
  </si>
  <si>
    <t xml:space="preserve">Scenarios — does success improve or damage the economics?</t>
  </si>
  <si>
    <t xml:space="preserve">Drivers are edited on Assumptions section E. This sheet only calculates, and it uses the same margin and ROI definitions as UnitEconomics.</t>
  </si>
  <si>
    <t xml:space="preserve">API spend comes from Engine totals (free units and fixed fees included). Other delivery scales with successes and failures. Support scales with customers. Value per success is Assumptions!B25.</t>
  </si>
  <si>
    <t xml:space="preserve">Successful outcomes</t>
  </si>
  <si>
    <t xml:space="preserve">Quantified value</t>
  </si>
  <si>
    <t xml:space="preserve">Value − API $ / success</t>
  </si>
  <si>
    <t xml:space="preserve">How to read it</t>
  </si>
  <si>
    <t xml:space="preserve">Current planning case. Should reconcile to UnitEconomics.</t>
  </si>
  <si>
    <t xml:space="preserve">Scale with a small discount and extra cache on cacheable steps only.</t>
  </si>
  <si>
    <t xml:space="preserve">Power users: more actions, more retries, worse cache. Watch margin.</t>
  </si>
  <si>
    <t xml:space="preserve">Vendor raises variable prices 25%. Volume unchanged.</t>
  </si>
  <si>
    <t xml:space="preserve">Better success rate, fewer retries, more cache, slight price cut.</t>
  </si>
  <si>
    <t xml:space="preserve">Base case must match UnitEconomics</t>
  </si>
  <si>
    <t xml:space="preserve">API spend matches?</t>
  </si>
  <si>
    <t xml:space="preserve">If any row says MISMATCH, a definition drifted. Do not present the file until it says OK.</t>
  </si>
  <si>
    <t xml:space="preserve">Gross margin matches?</t>
  </si>
  <si>
    <t xml:space="preserve">ROI matches?</t>
  </si>
  <si>
    <t xml:space="preserve">The negative-margin crossover — fixed revenue, usage-driven cost</t>
  </si>
  <si>
    <t xml:space="preserve">Teaching example from the article: one customer pays a fixed $100/month, and delivery cost is $0.002 per API call. That is NOT the SaaS product on Dashboard / Assumptions A–D (those use $24 subscription and a multi-vendor workflow). This sheet is separate on purpose so the “usage can wipe out a flat plan” story stays visible even when the main product still looks healthy.</t>
  </si>
  <si>
    <t xml:space="preserve">Inputs (from Assumptions section F)</t>
  </si>
  <si>
    <t xml:space="preserve">Subscription revenue / customer</t>
  </si>
  <si>
    <t xml:space="preserve">Cost per API call</t>
  </si>
  <si>
    <t xml:space="preserve">Break-even calls</t>
  </si>
  <si>
    <t xml:space="preserve">Above this, the customer has negative gross profit.</t>
  </si>
  <si>
    <t xml:space="preserve">Article checkpoints</t>
  </si>
  <si>
    <t xml:space="preserve">Point</t>
  </si>
  <si>
    <t xml:space="preserve">Calls / month</t>
  </si>
  <si>
    <t xml:space="preserve">Delivery cost</t>
  </si>
  <si>
    <t xml:space="preserve">Read</t>
  </si>
  <si>
    <t xml:space="preserve">A — still healthy</t>
  </si>
  <si>
    <t xml:space="preserve">Cost well under the subscription.</t>
  </si>
  <si>
    <t xml:space="preserve">B — break-even zone</t>
  </si>
  <si>
    <t xml:space="preserve">Should land on or near $0 profit if B53 = B7.</t>
  </si>
  <si>
    <t xml:space="preserve">C — losing money</t>
  </si>
  <si>
    <t xml:space="preserve">Volume scaled a bad unit. Profit is negative.</t>
  </si>
  <si>
    <t xml:space="preserve">Curve for the chart (0 to 100,000 calls)</t>
  </si>
  <si>
    <t xml:space="preserve">Volume does not fix negative unit economics. It scales them. A fair-use cap, overage fee, or plan gate is a product decision, not just a finance afterthought.</t>
  </si>
  <si>
    <t xml:space="preserve">Field key for this sheet</t>
  </si>
  <si>
    <t xml:space="preserve">Fixed fee that one customer pays this month, no matter how many calls they make. Article default $100.</t>
  </si>
  <si>
    <t xml:space="preserve">Variable delivery cost of one billed call. Article default $0.002. In real life this may be a blend of several vendors.</t>
  </si>
  <si>
    <t xml:space="preserve">Subscription ÷ cost per call. At this volume, gross profit on that customer is $0. Sample: 50,000.</t>
  </si>
  <si>
    <t xml:space="preserve">Point A / B / C</t>
  </si>
  <si>
    <t xml:space="preserve">Three checkpoints from the article (10k, 50k, 100k calls). Cost = calls × cost per call. Profit = $100 − cost. Margin = profit ÷ $100.</t>
  </si>
  <si>
    <t xml:space="preserve">Curve</t>
  </si>
  <si>
    <t xml:space="preserve">Same two lines plotted from 0 to 100,000 calls so you can see where the red cost line crosses the green revenue line.</t>
  </si>
  <si>
    <t xml:space="preserve">Seller economics — if you also monetize an API</t>
  </si>
  <si>
    <t xml:space="preserve">Free units cut invoiceable volume. They do not cut upstream or infrastructure cost.</t>
  </si>
  <si>
    <t xml:space="preserve">Average paying customer</t>
  </si>
  <si>
    <t xml:space="preserve">Paying customers</t>
  </si>
  <si>
    <t xml:space="preserve">How many customers pay you for the API this month.</t>
  </si>
  <si>
    <t xml:space="preserve">Units consumed / customer (including free)</t>
  </si>
  <si>
    <t xml:space="preserve">What an average customer actually consumes, including units you give away for free.</t>
  </si>
  <si>
    <t xml:space="preserve">Free allowance / customer</t>
  </si>
  <si>
    <t xml:space="preserve">Allowance bundled in the plan. These units produce $0 invoice and still incur upstream + infra cost.</t>
  </si>
  <si>
    <t xml:space="preserve">Billable units / customer</t>
  </si>
  <si>
    <t xml:space="preserve">Consumed units minus the free allowance, not below zero. This is what you invoice.</t>
  </si>
  <si>
    <t xml:space="preserve">Price / billable unit</t>
  </si>
  <si>
    <t xml:space="preserve">List price charged on each billable unit. Does not apply to free units.</t>
  </si>
  <si>
    <t xml:space="preserve">Upstream cost / unit consumed</t>
  </si>
  <si>
    <t xml:space="preserve">What you pay a third party for each unit the customer consumes — free units included.</t>
  </si>
  <si>
    <t xml:space="preserve">Infrastructure cost / unit consumed</t>
  </si>
  <si>
    <t xml:space="preserve">Your own compute/network/storage per consumed unit — free units included.</t>
  </si>
  <si>
    <t xml:space="preserve">Support / customer</t>
  </si>
  <si>
    <t xml:space="preserve">Support load assigned to one customer-month.</t>
  </si>
  <si>
    <t xml:space="preserve">Monthly totals — average book</t>
  </si>
  <si>
    <t xml:space="preserve">Units consumed / month</t>
  </si>
  <si>
    <t xml:space="preserve">Customers × units consumed. Includes free usage.</t>
  </si>
  <si>
    <t xml:space="preserve">Customers × free allowance. Invoiced at $0; still produced.</t>
  </si>
  <si>
    <t xml:space="preserve">Billable units / month</t>
  </si>
  <si>
    <t xml:space="preserve">Customers × billable units. The volume that creates revenue.</t>
  </si>
  <si>
    <t xml:space="preserve">API revenue / month</t>
  </si>
  <si>
    <t xml:space="preserve">Billable units × list price. Revenue does not include free units.</t>
  </si>
  <si>
    <t xml:space="preserve">Upstream cost / month</t>
  </si>
  <si>
    <t xml:space="preserve">All consumed units × upstream rate. Free usage is in this cost.</t>
  </si>
  <si>
    <t xml:space="preserve">Infrastructure cost / month</t>
  </si>
  <si>
    <t xml:space="preserve">All consumed units × infra rate. Free usage is in this cost.</t>
  </si>
  <si>
    <t xml:space="preserve">Support allocation / month</t>
  </si>
  <si>
    <t xml:space="preserve">Customers × support per customer.</t>
  </si>
  <si>
    <t xml:space="preserve">Shared platform cost for the API product this month. Does not scale with one extra unit.</t>
  </si>
  <si>
    <t xml:space="preserve">Total cost of service / month</t>
  </si>
  <si>
    <t xml:space="preserve">Upstream + infra + support + platform. Delivery cost of the sold API.</t>
  </si>
  <si>
    <t xml:space="preserve">Gross profit / month</t>
  </si>
  <si>
    <t xml:space="preserve">API revenue minus cost of service.</t>
  </si>
  <si>
    <t xml:space="preserve">Gross profit ÷ API revenue. Statutory finance may classify lines differently.</t>
  </si>
  <si>
    <t xml:space="preserve">Free-tier subsidy / month</t>
  </si>
  <si>
    <t xml:space="preserve">Free units × (upstream + infra). What it costs you to give the allowance away.</t>
  </si>
  <si>
    <t xml:space="preserve">Go-to-market cost assigned to this API product this month.</t>
  </si>
  <si>
    <t xml:space="preserve">Contribution after sales/success</t>
  </si>
  <si>
    <t xml:space="preserve">Gross profit minus sales/success allocation.</t>
  </si>
  <si>
    <t xml:space="preserve">Contribution ÷ API revenue.</t>
  </si>
  <si>
    <t xml:space="preserve">Upstream + infra / consumed unit</t>
  </si>
  <si>
    <t xml:space="preserve">Variable cost attached to every consumed unit, billed or free.</t>
  </si>
  <si>
    <t xml:space="preserve">Price / direct variable cost</t>
  </si>
  <si>
    <t xml:space="preserve">List price ÷ (upstream + infra). How many times price covers the variable stack — only on units you invoice.</t>
  </si>
  <si>
    <t xml:space="preserve">Same plan, heavy-user customer (one account)</t>
  </si>
  <si>
    <t xml:space="preserve">Units consumed</t>
  </si>
  <si>
    <t xml:space="preserve">Usage of one power-user on the same price plan. Edited on Assumptions B69.</t>
  </si>
  <si>
    <t xml:space="preserve">Billable units</t>
  </si>
  <si>
    <t xml:space="preserve">Power-user consumed units minus the same free allowance.</t>
  </si>
  <si>
    <t xml:space="preserve">What that one account pays you.</t>
  </si>
  <si>
    <t xml:space="preserve">Upstream + infra cost</t>
  </si>
  <si>
    <t xml:space="preserve">What that one account costs in upstream + infra (every consumed unit).</t>
  </si>
  <si>
    <t xml:space="preserve">Support</t>
  </si>
  <si>
    <t xml:space="preserve">Same support allocation as an average customer. Change if power users need more help.</t>
  </si>
  <si>
    <t xml:space="preserve">Gross profit (before platform allocation)</t>
  </si>
  <si>
    <t xml:space="preserve">That account’s revenue minus upstream, infra, and support. Platform cost is not allocated down to one customer here.</t>
  </si>
  <si>
    <t xml:space="preserve">Gross margin (before platform allocation)</t>
  </si>
  <si>
    <t xml:space="preserve">Row 39 ÷ row 36 for the power user.</t>
  </si>
  <si>
    <t xml:space="preserve">Versus average customer GP (before platform)</t>
  </si>
  <si>
    <t xml:space="preserve">Power-user GP minus average-customer GP (both before platform). Negative = this account is worse than average.</t>
  </si>
  <si>
    <t xml:space="preserve">If you wrap third-party APIs and resell a combined capability, put the third-party rate in “upstream cost per unit consumed.” Downstream price has to cover that plus infra plus the margin you actually need.</t>
  </si>
  <si>
    <t xml:space="preserve">Engine — scenario math at the service level (read-only)</t>
  </si>
  <si>
    <t xml:space="preserve">20 rows = 5 scenarios × 4 catalog services. Cache-hit delta applies only when Catalog!H is Yes. Free units and fixed fees are monthly per service.</t>
  </si>
  <si>
    <t xml:space="preserve">Actions/cust</t>
  </si>
  <si>
    <t xml:space="preserve">Price ×</t>
  </si>
  <si>
    <t xml:space="preserve">Retry ×</t>
  </si>
  <si>
    <t xml:space="preserve">Cache Δ</t>
  </si>
  <si>
    <t xml:space="preserve">Units / started action</t>
  </si>
  <si>
    <t xml:space="preserve">Monthly units consumed</t>
  </si>
  <si>
    <t xml:space="preserve">Monthly billable units</t>
  </si>
  <si>
    <t xml:space="preserve">Variable $</t>
  </si>
  <si>
    <t xml:space="preserve">Fixed $</t>
  </si>
  <si>
    <t xml:space="preserve">Service $</t>
  </si>
  <si>
    <t xml:space="preserve">Cache used</t>
  </si>
  <si>
    <t xml:space="preserve">P run | succ</t>
  </si>
  <si>
    <t xml:space="preserve">P run | fail</t>
  </si>
  <si>
    <t xml:space="preserve">Price</t>
  </si>
  <si>
    <t xml:space="preserve">Scenario totals</t>
  </si>
  <si>
    <t xml:space="preserve">Variable API $</t>
  </si>
  <si>
    <t xml:space="preserve">Fixed API $</t>
  </si>
  <si>
    <t xml:space="preserve">Total API $</t>
  </si>
  <si>
    <t xml:space="preserve">Formulas on this sheet are written without LET() so they recalculate in Excel and LibreOffice. Do not edit Engine cells; change Assumptions, Catalog, or Workflow instead.</t>
  </si>
  <si>
    <t xml:space="preserve">Field key — what each Row 4 column is</t>
  </si>
  <si>
    <t xml:space="preserve">Engine is read-only. Each of rows 5–24 is one scenario × one Catalog service. Totals by scenario sit in rows 28–32 and feed Scenarios / UnitEconomics. Change Assumptions, Catalog, or Workflow instead of these cells.</t>
  </si>
  <si>
    <t xml:space="preserve">Which case this row belongs to (Base, Growth, Heavy-user tail, Vendor +25%, Efficiency). Pulled from Assumptions section E.</t>
  </si>
  <si>
    <t xml:space="preserve">Which Catalog consumer API this row prices (Geocoding, Risk / Verification, AI Model, Notification).</t>
  </si>
  <si>
    <t xml:space="preserve">Active customers in that scenario.</t>
  </si>
  <si>
    <t xml:space="preserve">Started actions per customer in that scenario. Includes later failures.</t>
  </si>
  <si>
    <t xml:space="preserve">Share of started actions that become successful outcomes in that scenario.</t>
  </si>
  <si>
    <t xml:space="preserve">Multiplier on Catalog variable prices. 1.00 = current price. 1.25 = vendor +25%.</t>
  </si>
  <si>
    <t xml:space="preserve">Multiplier on each step’s retry rate from Workflow. 1.25 means 25% more retries than the BOM.</t>
  </si>
  <si>
    <t xml:space="preserve">Added to Workflow cache-hit rate only when Catalog “Cacheable?” = Yes. Can be negative. Clamped between 0% and 100%.</t>
  </si>
  <si>
    <t xml:space="preserve">Expected billable units of this service each time a customer starts the workflow, mixing the success path and the fail path at this scenario’s success rate.</t>
  </si>
  <si>
    <t xml:space="preserve">Customers × actions/cust × units per started action. Gross usage before the free allowance.</t>
  </si>
  <si>
    <t xml:space="preserve">Consumed units minus that service’s Catalog free allowance, not below zero. This is what the vendor invoices.</t>
  </si>
  <si>
    <t xml:space="preserve">Billable units × Catalog variable price × Price ×.</t>
  </si>
  <si>
    <t xml:space="preserve">That service’s Catalog monthly fixed fee. Does not change with volume in this model.</t>
  </si>
  <si>
    <t xml:space="preserve">Variable $ + Fixed $. Contribution of this service to that scenario’s API bill.</t>
  </si>
  <si>
    <t xml:space="preserve">Effective cache-hit rate after applying Cache Δ (only if cacheable). Shown so you can see the lever actually fired.</t>
  </si>
  <si>
    <t xml:space="preserve">Probability this step runs on a successful action. From Workflow. Not changed by scenarios.</t>
  </si>
  <si>
    <t xml:space="preserve">Probability this step runs on a failed/abandoned action. From Workflow.</t>
  </si>
  <si>
    <t xml:space="preserve">Effective variable price this scenario uses: Catalog price × Price ×.</t>
  </si>
  <si>
    <t xml:space="preserve">Sources &amp; framework references</t>
  </si>
  <si>
    <t xml:space="preserve">These shaped the article and this model. They are not endorsements of any vendor’s accounting policy.</t>
  </si>
  <si>
    <t xml:space="preserve">Source</t>
  </si>
  <si>
    <t xml:space="preserve">URL</t>
  </si>
  <si>
    <t xml:space="preserve">How used</t>
  </si>
  <si>
    <t xml:space="preserve">Type</t>
  </si>
  <si>
    <t xml:space="preserve">Productify — Guide to P&amp;L Management for Product Leads</t>
  </si>
  <si>
    <t xml:space="preserve">https://productify.substack.com/p/p-and-l-management-for-product-leads</t>
  </si>
  <si>
    <t xml:space="preserve">Product-level P&amp;L and growth + financial impact</t>
  </si>
  <si>
    <t xml:space="preserve">Product management</t>
  </si>
  <si>
    <t xml:space="preserve">FinOps Foundation — Unit Economics</t>
  </si>
  <si>
    <t xml:space="preserve">https://www.finops.org/framework/capabilities/unit-economics/</t>
  </si>
  <si>
    <t xml:space="preserve">Cost per business unit; technology spend tied to output</t>
  </si>
  <si>
    <t xml:space="preserve">FinOps framework</t>
  </si>
  <si>
    <t xml:space="preserve">CloudZero — Unit Economics</t>
  </si>
  <si>
    <t xml:space="preserve">https://docs.cloudzero.com/docs/unit-economics</t>
  </si>
  <si>
    <t xml:space="preserve">Cost per customer, transaction, API call, feature</t>
  </si>
  <si>
    <t xml:space="preserve">FinOps implementation</t>
  </si>
  <si>
    <t xml:space="preserve">CloudZero — API Metrics</t>
  </si>
  <si>
    <t xml:space="preserve">https://www.cloudzero.com/blog/api-metrics/</t>
  </si>
  <si>
    <t xml:space="preserve">Cost per workflow / feature</t>
  </si>
  <si>
    <t xml:space="preserve">FinOps / API economics</t>
  </si>
  <si>
    <t xml:space="preserve">AI-Native PM — Cost the Task, Not the Call</t>
  </si>
  <si>
    <t xml:space="preserve">https://ainativeproductmanager.com/builders-stack/frontier/unit-economics/cost-per-task</t>
  </si>
  <si>
    <t xml:space="preserve">Successful outcome as the unit; retries and failed attempts belong in the numerator</t>
  </si>
  <si>
    <t xml:space="preserve">AI product economics</t>
  </si>
  <si>
    <t xml:space="preserve">Mind the Product — The 3 Financial Metrics Every PM Needs</t>
  </si>
  <si>
    <t xml:space="preserve">https://www.mindtheproduct.com/the-3-financial-metrics-every-pm-needs-on-their-scorecard/</t>
  </si>
  <si>
    <t xml:space="preserve">Gross margin as a product conversation</t>
  </si>
  <si>
    <t xml:space="preserve">Product Coalition — Financial Blind Spot</t>
  </si>
  <si>
    <t xml:space="preserve">https://www.productcoalition.com/p/the-number-your-board-asks-first</t>
  </si>
  <si>
    <t xml:space="preserve">Roadmap connected to margin and payback</t>
  </si>
  <si>
    <t xml:space="preserve">digitalML — API Product Management KPI Worksheet</t>
  </si>
  <si>
    <t xml:space="preserve">https://godigitalml.medium.com/api-kpis-part-2-the-api-product-management-kpis-worksheet-d984d9369ff3</t>
  </si>
  <si>
    <t xml:space="preserve">Third-party API ROI and ownership</t>
  </si>
  <si>
    <t xml:space="preserve">API product management</t>
  </si>
  <si>
    <t xml:space="preserve">Companion article: https://tetramesa.com/the-api-bill-is-a-product-finance-decision/</t>
  </si>
</sst>
</file>

<file path=xl/styles.xml><?xml version="1.0" encoding="utf-8"?>
<styleSheet xmlns="http://schemas.openxmlformats.org/spreadsheetml/2006/main">
  <numFmts count="14">
    <numFmt numFmtId="164" formatCode="General"/>
    <numFmt numFmtId="165" formatCode="#,##0"/>
    <numFmt numFmtId="166" formatCode="\$#,##0.0000"/>
    <numFmt numFmtId="167" formatCode="\$#,##0.00"/>
    <numFmt numFmtId="168" formatCode="0.0%"/>
    <numFmt numFmtId="169" formatCode="0.00\x"/>
    <numFmt numFmtId="170" formatCode="\$#,##0"/>
    <numFmt numFmtId="171" formatCode="@"/>
    <numFmt numFmtId="172" formatCode="0.00"/>
    <numFmt numFmtId="173" formatCode="#,##0.00"/>
    <numFmt numFmtId="174" formatCode="\$#,##0.000"/>
    <numFmt numFmtId="175" formatCode="0.000"/>
    <numFmt numFmtId="176" formatCode="0%"/>
    <numFmt numFmtId="177" formatCode="0.0000"/>
  </numFmts>
  <fonts count="22">
    <font>
      <sz val="11"/>
      <color theme="1"/>
      <name val="Calibri"/>
      <family val="2"/>
      <charset val="1"/>
    </font>
    <font>
      <sz val="10"/>
      <name val="Arial"/>
      <family val="0"/>
    </font>
    <font>
      <sz val="10"/>
      <name val="Arial"/>
      <family val="0"/>
    </font>
    <font>
      <sz val="10"/>
      <name val="Arial"/>
      <family val="0"/>
    </font>
    <font>
      <b val="true"/>
      <sz val="18"/>
      <color rgb="FF1B365D"/>
      <name val="Calibri"/>
      <family val="0"/>
      <charset val="1"/>
    </font>
    <font>
      <i val="true"/>
      <sz val="11"/>
      <color rgb="FF5B6570"/>
      <name val="Calibri"/>
      <family val="0"/>
      <charset val="1"/>
    </font>
    <font>
      <b val="true"/>
      <sz val="12"/>
      <color rgb="FFFFFFFF"/>
      <name val="Calibri"/>
      <family val="0"/>
      <charset val="1"/>
    </font>
    <font>
      <i val="true"/>
      <sz val="9"/>
      <color rgb="FF5B6570"/>
      <name val="Calibri"/>
      <family val="0"/>
      <charset val="1"/>
    </font>
    <font>
      <b val="true"/>
      <sz val="10"/>
      <color rgb="FF1A1A1A"/>
      <name val="Calibri"/>
      <family val="0"/>
      <charset val="1"/>
    </font>
    <font>
      <sz val="10"/>
      <color rgb="FF1A1A1A"/>
      <name val="Calibri"/>
      <family val="0"/>
      <charset val="1"/>
    </font>
    <font>
      <sz val="10"/>
      <color rgb="FF0000FF"/>
      <name val="Calibri"/>
      <family val="0"/>
      <charset val="1"/>
    </font>
    <font>
      <sz val="10"/>
      <color rgb="FF000000"/>
      <name val="Calibri"/>
      <family val="0"/>
      <charset val="1"/>
    </font>
    <font>
      <sz val="10"/>
      <color rgb="FF0B6A0B"/>
      <name val="Calibri"/>
      <family val="0"/>
      <charset val="1"/>
    </font>
    <font>
      <b val="true"/>
      <sz val="10"/>
      <color rgb="FF8A4B08"/>
      <name val="Calibri"/>
      <family val="0"/>
      <charset val="1"/>
    </font>
    <font>
      <b val="true"/>
      <sz val="10"/>
      <color rgb="FFFFFFFF"/>
      <name val="Calibri"/>
      <family val="0"/>
      <charset val="1"/>
    </font>
    <font>
      <sz val="10"/>
      <name val="Calibri"/>
      <family val="0"/>
      <charset val="1"/>
    </font>
    <font>
      <b val="true"/>
      <sz val="14"/>
      <color rgb="FF1B365D"/>
      <name val="Calibri"/>
      <family val="0"/>
      <charset val="1"/>
    </font>
    <font>
      <sz val="10"/>
      <name val="Arial"/>
      <family val="2"/>
    </font>
    <font>
      <b val="true"/>
      <sz val="18"/>
      <color rgb="FF000000"/>
      <name val="Calibri"/>
      <family val="2"/>
    </font>
    <font>
      <sz val="10"/>
      <color rgb="FF000000"/>
      <name val="Calibri"/>
      <family val="2"/>
    </font>
    <font>
      <b val="true"/>
      <sz val="10"/>
      <color rgb="FF000000"/>
      <name val="Calibri"/>
      <family val="2"/>
    </font>
    <font>
      <u val="single"/>
      <sz val="9"/>
      <color rgb="FF0B4F8A"/>
      <name val="Calibri"/>
      <family val="0"/>
      <charset val="1"/>
    </font>
  </fonts>
  <fills count="15">
    <fill>
      <patternFill patternType="none"/>
    </fill>
    <fill>
      <patternFill patternType="gray125"/>
    </fill>
    <fill>
      <patternFill patternType="solid">
        <fgColor rgb="FF1B365D"/>
        <bgColor rgb="FF0B4F8A"/>
      </patternFill>
    </fill>
    <fill>
      <patternFill patternType="solid">
        <fgColor rgb="FFE8EEF6"/>
        <bgColor rgb="FFEAF6EA"/>
      </patternFill>
    </fill>
    <fill>
      <patternFill patternType="solid">
        <fgColor rgb="FFF8F1DE"/>
        <bgColor rgb="FFF7F4EE"/>
      </patternFill>
    </fill>
    <fill>
      <patternFill patternType="solid">
        <fgColor rgb="FFFFF3BF"/>
        <bgColor rgb="FFFBE8D3"/>
      </patternFill>
    </fill>
    <fill>
      <patternFill patternType="solid">
        <fgColor rgb="FFF3F6F4"/>
        <bgColor rgb="FFF7F4EE"/>
      </patternFill>
    </fill>
    <fill>
      <patternFill patternType="solid">
        <fgColor rgb="FFEAF6EA"/>
        <bgColor rgb="FFF3F6F4"/>
      </patternFill>
    </fill>
    <fill>
      <patternFill patternType="solid">
        <fgColor rgb="FFE3EEDF"/>
        <bgColor rgb="FFF0EBE3"/>
      </patternFill>
    </fill>
    <fill>
      <patternFill patternType="solid">
        <fgColor rgb="FFFBE8D3"/>
        <bgColor rgb="FFF8F1DE"/>
      </patternFill>
    </fill>
    <fill>
      <patternFill patternType="solid">
        <fgColor rgb="FF2C5282"/>
        <bgColor rgb="FF3D5A80"/>
      </patternFill>
    </fill>
    <fill>
      <patternFill patternType="solid">
        <fgColor rgb="FFF0EBE3"/>
        <bgColor rgb="FFF8F1DE"/>
      </patternFill>
    </fill>
    <fill>
      <patternFill patternType="solid">
        <fgColor rgb="FFF7F4EE"/>
        <bgColor rgb="FFF3F6F4"/>
      </patternFill>
    </fill>
    <fill>
      <patternFill patternType="solid">
        <fgColor rgb="FF0F6C6C"/>
        <bgColor rgb="FF0B4F8A"/>
      </patternFill>
    </fill>
    <fill>
      <patternFill patternType="solid">
        <fgColor rgb="FFFFFFFF"/>
        <bgColor rgb="FFF9F9F9"/>
      </patternFill>
    </fill>
  </fills>
  <borders count="3">
    <border diagonalUp="false" diagonalDown="false">
      <left/>
      <right/>
      <top/>
      <bottom/>
      <diagonal/>
    </border>
    <border diagonalUp="false" diagonalDown="false">
      <left style="thin">
        <color rgb="FFC5CDD6"/>
      </left>
      <right style="thin">
        <color rgb="FFC5CDD6"/>
      </right>
      <top style="thin">
        <color rgb="FFC5CDD6"/>
      </top>
      <bottom style="thin">
        <color rgb="FFC5CDD6"/>
      </bottom>
      <diagonal/>
    </border>
    <border diagonalUp="false" diagonalDown="false">
      <left style="thin">
        <color rgb="FFC5CDD6"/>
      </left>
      <right/>
      <top style="thin">
        <color rgb="FFC5CDD6"/>
      </top>
      <bottom style="thin">
        <color rgb="FFC5CDD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7" fillId="3" borderId="0" xfId="0" applyFont="true" applyBorder="true" applyAlignment="true" applyProtection="false">
      <alignment horizontal="left" vertical="center" textRotation="0" wrapText="true" indent="1" shrinkToFit="false"/>
      <protection locked="true" hidden="false"/>
    </xf>
    <xf numFmtId="164" fontId="8" fillId="4"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0" fillId="5" borderId="1" xfId="0" applyFont="false" applyBorder="true" applyAlignment="true" applyProtection="false">
      <alignment horizontal="general" vertical="bottom" textRotation="0" wrapText="false" indent="0" shrinkToFit="false"/>
      <protection locked="true" hidden="false"/>
    </xf>
    <xf numFmtId="164" fontId="10" fillId="5" borderId="1" xfId="0" applyFont="true" applyBorder="true" applyAlignment="true" applyProtection="false">
      <alignment horizontal="general" vertical="bottom" textRotation="0" wrapText="false" indent="0" shrinkToFit="false"/>
      <protection locked="true" hidden="false"/>
    </xf>
    <xf numFmtId="164" fontId="0" fillId="6" borderId="1" xfId="0" applyFont="false" applyBorder="true" applyAlignment="true" applyProtection="false">
      <alignment horizontal="general" vertical="bottom" textRotation="0" wrapText="false" indent="0" shrinkToFit="false"/>
      <protection locked="true" hidden="false"/>
    </xf>
    <xf numFmtId="164" fontId="11" fillId="6" borderId="1" xfId="0" applyFont="true" applyBorder="true" applyAlignment="true" applyProtection="false">
      <alignment horizontal="general" vertical="bottom" textRotation="0" wrapText="false" indent="0" shrinkToFit="false"/>
      <protection locked="true" hidden="false"/>
    </xf>
    <xf numFmtId="164" fontId="0" fillId="7" borderId="1" xfId="0" applyFont="false" applyBorder="true" applyAlignment="true" applyProtection="false">
      <alignment horizontal="general" vertical="bottom" textRotation="0" wrapText="false" indent="0" shrinkToFit="false"/>
      <protection locked="true" hidden="false"/>
    </xf>
    <xf numFmtId="164" fontId="12" fillId="7" borderId="1" xfId="0" applyFont="true" applyBorder="true" applyAlignment="true" applyProtection="false">
      <alignment horizontal="general" vertical="bottom" textRotation="0" wrapText="false" indent="0" shrinkToFit="false"/>
      <protection locked="true" hidden="false"/>
    </xf>
    <xf numFmtId="164" fontId="0" fillId="8" borderId="1" xfId="0" applyFont="false" applyBorder="true" applyAlignment="true" applyProtection="false">
      <alignment horizontal="general" vertical="bottom" textRotation="0" wrapText="false" indent="0" shrinkToFit="false"/>
      <protection locked="true" hidden="false"/>
    </xf>
    <xf numFmtId="164" fontId="11" fillId="8" borderId="1" xfId="0" applyFont="true" applyBorder="true" applyAlignment="true" applyProtection="false">
      <alignment horizontal="general" vertical="bottom" textRotation="0" wrapText="false" indent="0" shrinkToFit="false"/>
      <protection locked="true" hidden="false"/>
    </xf>
    <xf numFmtId="164" fontId="0" fillId="9" borderId="1" xfId="0" applyFont="false" applyBorder="true" applyAlignment="true" applyProtection="false">
      <alignment horizontal="general" vertical="bottom" textRotation="0" wrapText="false" indent="0" shrinkToFit="false"/>
      <protection locked="true" hidden="false"/>
    </xf>
    <xf numFmtId="164" fontId="13" fillId="9" borderId="1" xfId="0" applyFont="true" applyBorder="true" applyAlignment="true" applyProtection="false">
      <alignment horizontal="general" vertical="bottom" textRotation="0" wrapText="false" indent="0" shrinkToFit="false"/>
      <protection locked="true" hidden="false"/>
    </xf>
    <xf numFmtId="164" fontId="14" fillId="1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center" textRotation="0" wrapText="true" indent="1" shrinkToFit="false"/>
      <protection locked="true" hidden="false"/>
    </xf>
    <xf numFmtId="164" fontId="9" fillId="11" borderId="0" xfId="0" applyFont="true" applyBorder="true" applyAlignment="true" applyProtection="false">
      <alignment horizontal="general" vertical="center" textRotation="0" wrapText="true" indent="1" shrinkToFit="false"/>
      <protection locked="true" hidden="false"/>
    </xf>
    <xf numFmtId="164" fontId="7" fillId="9" borderId="0" xfId="0" applyFont="true" applyBorder="true" applyAlignment="true" applyProtection="false">
      <alignment horizontal="left" vertical="center" textRotation="0" wrapText="true" indent="1" shrinkToFit="false"/>
      <protection locked="true" hidden="false"/>
    </xf>
    <xf numFmtId="164" fontId="7" fillId="12" borderId="0" xfId="0" applyFont="true" applyBorder="true" applyAlignment="true" applyProtection="false">
      <alignment horizontal="left" vertical="center" textRotation="0" wrapText="true" indent="1"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14" fillId="13" borderId="1"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5" fontId="16" fillId="8" borderId="1" xfId="0" applyFont="true" applyBorder="true" applyAlignment="true" applyProtection="false">
      <alignment horizontal="center" vertical="center" textRotation="0" wrapText="true" indent="0" shrinkToFit="false"/>
      <protection locked="true" hidden="false"/>
    </xf>
    <xf numFmtId="166" fontId="16" fillId="8" borderId="1" xfId="0" applyFont="true" applyBorder="true" applyAlignment="true" applyProtection="false">
      <alignment horizontal="center" vertical="center" textRotation="0" wrapText="true" indent="0" shrinkToFit="false"/>
      <protection locked="true" hidden="false"/>
    </xf>
    <xf numFmtId="167" fontId="16" fillId="8" borderId="1" xfId="0" applyFont="true" applyBorder="true" applyAlignment="true" applyProtection="false">
      <alignment horizontal="center" vertical="center" textRotation="0" wrapText="true" indent="0" shrinkToFit="false"/>
      <protection locked="true" hidden="false"/>
    </xf>
    <xf numFmtId="168" fontId="16" fillId="8" borderId="1" xfId="0" applyFont="true" applyBorder="true" applyAlignment="true" applyProtection="false">
      <alignment horizontal="center" vertical="center" textRotation="0" wrapText="true" indent="0" shrinkToFit="false"/>
      <protection locked="true" hidden="false"/>
    </xf>
    <xf numFmtId="169" fontId="16" fillId="8" borderId="1" xfId="0" applyFont="true" applyBorder="true" applyAlignment="true" applyProtection="false">
      <alignment horizontal="center" vertical="center" textRotation="0" wrapText="true" indent="0" shrinkToFit="false"/>
      <protection locked="true" hidden="false"/>
    </xf>
    <xf numFmtId="170" fontId="11" fillId="8" borderId="1"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6" fontId="12" fillId="7" borderId="1" xfId="0" applyFont="true" applyBorder="true" applyAlignment="true" applyProtection="false">
      <alignment horizontal="right" vertical="center" textRotation="0" wrapText="true" indent="0" shrinkToFit="false"/>
      <protection locked="true" hidden="false"/>
    </xf>
    <xf numFmtId="171" fontId="12" fillId="7"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71" fontId="11" fillId="8" borderId="2" xfId="0" applyFont="true" applyBorder="true" applyAlignment="true" applyProtection="false">
      <alignment horizontal="left" vertical="center" textRotation="0" wrapText="true" indent="0" shrinkToFit="false"/>
      <protection locked="true" hidden="false"/>
    </xf>
    <xf numFmtId="168" fontId="12" fillId="7" borderId="1" xfId="0" applyFont="true" applyBorder="true" applyAlignment="true" applyProtection="false">
      <alignment horizontal="right" vertical="center" textRotation="0" wrapText="true" indent="0" shrinkToFit="false"/>
      <protection locked="true" hidden="false"/>
    </xf>
    <xf numFmtId="169" fontId="12" fillId="7" borderId="1" xfId="0" applyFont="true" applyBorder="true" applyAlignment="true" applyProtection="false">
      <alignment horizontal="right"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true" indent="1" shrinkToFit="false"/>
      <protection locked="true" hidden="false"/>
    </xf>
    <xf numFmtId="164" fontId="7" fillId="3" borderId="0" xfId="0" applyFont="true" applyBorder="true" applyAlignment="true" applyProtection="false">
      <alignment horizontal="left" vertical="center" textRotation="0" wrapText="true" indent="0" shrinkToFit="false"/>
      <protection locked="true" hidden="false"/>
    </xf>
    <xf numFmtId="164" fontId="6" fillId="13" borderId="0" xfId="0" applyFont="true" applyBorder="true" applyAlignment="true" applyProtection="false">
      <alignment horizontal="left" vertical="center" textRotation="0" wrapText="true" indent="1" shrinkToFit="false"/>
      <protection locked="true" hidden="false"/>
    </xf>
    <xf numFmtId="164" fontId="8" fillId="14" borderId="1" xfId="0" applyFont="true" applyBorder="true" applyAlignment="true" applyProtection="false">
      <alignment horizontal="left" vertical="center" textRotation="0" wrapText="true" indent="0" shrinkToFit="false"/>
      <protection locked="true" hidden="false"/>
    </xf>
    <xf numFmtId="164" fontId="9" fillId="12" borderId="1" xfId="0" applyFont="true" applyBorder="true" applyAlignment="true" applyProtection="false">
      <alignment horizontal="left" vertical="center" textRotation="0" wrapText="true" indent="0" shrinkToFit="false"/>
      <protection locked="true" hidden="false"/>
    </xf>
    <xf numFmtId="164" fontId="8" fillId="11" borderId="1" xfId="0" applyFont="true" applyBorder="true" applyAlignment="true" applyProtection="false">
      <alignment horizontal="left" vertical="center" textRotation="0" wrapText="true" indent="0" shrinkToFit="false"/>
      <protection locked="true" hidden="false"/>
    </xf>
    <xf numFmtId="164" fontId="9" fillId="11" borderId="1" xfId="0" applyFont="true" applyBorder="true" applyAlignment="true" applyProtection="false">
      <alignment horizontal="left" vertical="center" textRotation="0" wrapText="true" indent="0" shrinkToFit="false"/>
      <protection locked="true" hidden="false"/>
    </xf>
    <xf numFmtId="164" fontId="7" fillId="12" borderId="0" xfId="0" applyFont="true" applyBorder="true" applyAlignment="true" applyProtection="false">
      <alignment horizontal="left" vertical="center" textRotation="0" wrapText="true" indent="0" shrinkToFit="false"/>
      <protection locked="true" hidden="false"/>
    </xf>
    <xf numFmtId="165" fontId="10" fillId="5" borderId="1" xfId="0" applyFont="true" applyBorder="true" applyAlignment="true" applyProtection="false">
      <alignment horizontal="right"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72" fontId="10" fillId="5" borderId="1" xfId="0" applyFont="true" applyBorder="true" applyAlignment="true" applyProtection="false">
      <alignment horizontal="right" vertical="center" textRotation="0" wrapText="true" indent="0" shrinkToFit="false"/>
      <protection locked="true" hidden="false"/>
    </xf>
    <xf numFmtId="168" fontId="10" fillId="5" borderId="1" xfId="0" applyFont="true" applyBorder="true" applyAlignment="true" applyProtection="false">
      <alignment horizontal="right"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true" indent="0" shrinkToFit="false"/>
      <protection locked="true" hidden="false"/>
    </xf>
    <xf numFmtId="173" fontId="11" fillId="8" borderId="1" xfId="0" applyFont="true" applyBorder="true" applyAlignment="true" applyProtection="false">
      <alignment horizontal="right"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7" fontId="10" fillId="5" borderId="1" xfId="0" applyFont="true" applyBorder="true" applyAlignment="true" applyProtection="false">
      <alignment horizontal="right" vertical="center" textRotation="0" wrapText="true" indent="0" shrinkToFit="false"/>
      <protection locked="true" hidden="false"/>
    </xf>
    <xf numFmtId="171" fontId="10" fillId="5" borderId="1" xfId="0" applyFont="true" applyBorder="true" applyAlignment="true" applyProtection="false">
      <alignment horizontal="center" vertical="center" textRotation="0" wrapText="true" indent="0" shrinkToFit="false"/>
      <protection locked="true" hidden="false"/>
    </xf>
    <xf numFmtId="167" fontId="11" fillId="8" borderId="1" xfId="0" applyFont="true" applyBorder="true" applyAlignment="true" applyProtection="false">
      <alignment horizontal="right" vertical="center" textRotation="0" wrapText="true" indent="0" shrinkToFit="false"/>
      <protection locked="true" hidden="false"/>
    </xf>
    <xf numFmtId="170" fontId="10" fillId="5" borderId="1" xfId="0" applyFont="true" applyBorder="true" applyAlignment="true" applyProtection="false">
      <alignment horizontal="right"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5" fontId="12" fillId="7" borderId="1" xfId="0" applyFont="true" applyBorder="true" applyAlignment="true" applyProtection="false">
      <alignment horizontal="right" vertical="center" textRotation="0" wrapText="true" indent="0" shrinkToFit="false"/>
      <protection locked="true" hidden="false"/>
    </xf>
    <xf numFmtId="172" fontId="12" fillId="7" borderId="1" xfId="0" applyFont="true" applyBorder="true" applyAlignment="true" applyProtection="false">
      <alignment horizontal="right" vertical="center" textRotation="0" wrapText="true" indent="0" shrinkToFit="false"/>
      <protection locked="true" hidden="false"/>
    </xf>
    <xf numFmtId="167" fontId="12" fillId="7" borderId="1" xfId="0" applyFont="true" applyBorder="true" applyAlignment="true" applyProtection="false">
      <alignment horizontal="righ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6" fontId="10" fillId="5" borderId="1" xfId="0" applyFont="true" applyBorder="true" applyAlignment="true" applyProtection="false">
      <alignment horizontal="right" vertical="center" textRotation="0" wrapText="true" indent="0" shrinkToFit="false"/>
      <protection locked="true" hidden="false"/>
    </xf>
    <xf numFmtId="174" fontId="10" fillId="5" borderId="1" xfId="0" applyFont="true" applyBorder="true" applyAlignment="true" applyProtection="false">
      <alignment horizontal="right" vertical="center" textRotation="0" wrapText="true" indent="0" shrinkToFit="false"/>
      <protection locked="true" hidden="false"/>
    </xf>
    <xf numFmtId="164" fontId="9" fillId="0" borderId="1" xfId="0" applyFont="true" applyBorder="true" applyAlignment="true" applyProtection="false">
      <alignment horizontal="general" vertical="bottom" textRotation="0" wrapText="false" indent="0" shrinkToFit="false"/>
      <protection locked="true" hidden="false"/>
    </xf>
    <xf numFmtId="171" fontId="11" fillId="6"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right" vertical="center" textRotation="0" wrapText="false" indent="0" shrinkToFit="false"/>
      <protection locked="true" hidden="false"/>
    </xf>
    <xf numFmtId="167" fontId="11" fillId="6" borderId="1" xfId="0" applyFont="true" applyBorder="true" applyAlignment="true" applyProtection="false">
      <alignment horizontal="right" vertical="center" textRotation="0" wrapText="true" indent="0" shrinkToFit="false"/>
      <protection locked="true" hidden="false"/>
    </xf>
    <xf numFmtId="173" fontId="12" fillId="7" borderId="1" xfId="0" applyFont="true" applyBorder="true" applyAlignment="true" applyProtection="false">
      <alignment horizontal="right" vertical="center" textRotation="0" wrapText="tru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9" fillId="9" borderId="0" xfId="0" applyFont="true" applyBorder="true" applyAlignment="true" applyProtection="false">
      <alignment horizontal="left" vertical="top" textRotation="0" wrapText="true" indent="1"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74" fontId="12" fillId="7" borderId="1" xfId="0" applyFont="true" applyBorder="true" applyAlignment="true" applyProtection="false">
      <alignment horizontal="right" vertical="center" textRotation="0" wrapText="true" indent="0" shrinkToFit="false"/>
      <protection locked="true" hidden="false"/>
    </xf>
    <xf numFmtId="175" fontId="11" fillId="6" borderId="1" xfId="0" applyFont="true" applyBorder="true" applyAlignment="true" applyProtection="false">
      <alignment horizontal="right" vertical="center" textRotation="0" wrapText="true" indent="0" shrinkToFit="false"/>
      <protection locked="true" hidden="false"/>
    </xf>
    <xf numFmtId="166" fontId="11" fillId="6" borderId="1" xfId="0" applyFont="true" applyBorder="true" applyAlignment="true" applyProtection="false">
      <alignment horizontal="right" vertical="center" textRotation="0" wrapText="true" indent="0" shrinkToFit="false"/>
      <protection locked="true" hidden="false"/>
    </xf>
    <xf numFmtId="164" fontId="8" fillId="8" borderId="0" xfId="0" applyFont="true" applyBorder="false" applyAlignment="true" applyProtection="false">
      <alignment horizontal="left" vertical="center" textRotation="0" wrapText="true" indent="0" shrinkToFit="false"/>
      <protection locked="true" hidden="false"/>
    </xf>
    <xf numFmtId="175" fontId="11" fillId="8" borderId="1" xfId="0" applyFont="true" applyBorder="true" applyAlignment="true" applyProtection="false">
      <alignment horizontal="right" vertical="center" textRotation="0" wrapText="true" indent="0" shrinkToFit="false"/>
      <protection locked="true" hidden="false"/>
    </xf>
    <xf numFmtId="166" fontId="11" fillId="8" borderId="1" xfId="0" applyFont="true" applyBorder="true" applyAlignment="true" applyProtection="false">
      <alignment horizontal="right" vertical="center" textRotation="0" wrapText="true" indent="0" shrinkToFit="false"/>
      <protection locked="true" hidden="false"/>
    </xf>
    <xf numFmtId="171" fontId="11" fillId="8" borderId="1" xfId="0" applyFont="true" applyBorder="true" applyAlignment="true" applyProtection="false">
      <alignment horizontal="right" vertical="center" textRotation="0" wrapText="true" indent="0" shrinkToFit="false"/>
      <protection locked="true" hidden="false"/>
    </xf>
    <xf numFmtId="168" fontId="11" fillId="8" borderId="1" xfId="0" applyFont="true" applyBorder="true" applyAlignment="true" applyProtection="false">
      <alignment horizontal="right" vertical="center" textRotation="0" wrapText="true" indent="0" shrinkToFit="false"/>
      <protection locked="true" hidden="false"/>
    </xf>
    <xf numFmtId="169" fontId="11" fillId="8" borderId="1" xfId="0" applyFont="true" applyBorder="true" applyAlignment="true" applyProtection="false">
      <alignment horizontal="right" vertical="center" textRotation="0" wrapText="true" indent="0" shrinkToFit="false"/>
      <protection locked="true" hidden="false"/>
    </xf>
    <xf numFmtId="171" fontId="11" fillId="8" borderId="1" xfId="0" applyFont="true" applyBorder="true" applyAlignment="true" applyProtection="false">
      <alignment horizontal="left" vertical="center" textRotation="0" wrapText="true" indent="0" shrinkToFit="false"/>
      <protection locked="true" hidden="false"/>
    </xf>
    <xf numFmtId="168" fontId="11" fillId="6" borderId="1" xfId="0" applyFont="true" applyBorder="true" applyAlignment="true" applyProtection="false">
      <alignment horizontal="right" vertical="center" textRotation="0" wrapText="true" indent="0" shrinkToFit="false"/>
      <protection locked="true" hidden="false"/>
    </xf>
    <xf numFmtId="164" fontId="8" fillId="8" borderId="1" xfId="0" applyFont="true" applyBorder="true" applyAlignment="true" applyProtection="false">
      <alignment horizontal="left" vertical="center" textRotation="0" wrapText="true" indent="0" shrinkToFit="false"/>
      <protection locked="true" hidden="false"/>
    </xf>
    <xf numFmtId="173" fontId="11" fillId="6" borderId="1" xfId="0" applyFont="true" applyBorder="true" applyAlignment="true" applyProtection="false">
      <alignment horizontal="righ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5" fontId="11" fillId="6" borderId="1" xfId="0" applyFont="true" applyBorder="true" applyAlignment="true" applyProtection="false">
      <alignment horizontal="right" vertical="center" textRotation="0" wrapText="true" indent="0" shrinkToFit="false"/>
      <protection locked="true" hidden="false"/>
    </xf>
    <xf numFmtId="164" fontId="9" fillId="14" borderId="1" xfId="0" applyFont="true" applyBorder="true" applyAlignment="true" applyProtection="false">
      <alignment horizontal="left" vertical="center" textRotation="0" wrapText="true" indent="0" shrinkToFit="false"/>
      <protection locked="true" hidden="false"/>
    </xf>
    <xf numFmtId="172" fontId="11" fillId="6" borderId="1" xfId="0" applyFont="true" applyBorder="true" applyAlignment="true" applyProtection="false">
      <alignment horizontal="right" vertical="center" textRotation="0" wrapText="true" indent="0" shrinkToFit="false"/>
      <protection locked="true" hidden="false"/>
    </xf>
    <xf numFmtId="171" fontId="12" fillId="7" borderId="1" xfId="0" applyFont="true" applyBorder="true" applyAlignment="true" applyProtection="false">
      <alignment horizontal="right" vertical="center" textRotation="0" wrapText="true" indent="0" shrinkToFit="false"/>
      <protection locked="true" hidden="false"/>
    </xf>
    <xf numFmtId="177" fontId="11" fillId="6" borderId="1" xfId="0" applyFont="true" applyBorder="true" applyAlignment="true" applyProtection="false">
      <alignment horizontal="right" vertical="center" textRotation="0" wrapText="true" indent="0" shrinkToFit="false"/>
      <protection locked="true" hidden="false"/>
    </xf>
    <xf numFmtId="174" fontId="11" fillId="6" borderId="1" xfId="0" applyFont="true" applyBorder="true" applyAlignment="true" applyProtection="false">
      <alignment horizontal="right" vertical="center" textRotation="0" wrapText="tru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8D7DA"/>
        </patternFill>
      </fill>
    </dxf>
    <dxf>
      <fill>
        <patternFill>
          <bgColor rgb="FFD7EAD3"/>
        </patternFill>
      </fill>
    </dxf>
  </dxfs>
  <colors>
    <indexedColors>
      <rgbColor rgb="FF000000"/>
      <rgbColor rgb="FFFFFFFF"/>
      <rgbColor rgb="FFFF0000"/>
      <rgbColor rgb="FF00FF00"/>
      <rgbColor rgb="FF0000FF"/>
      <rgbColor rgb="FFF7F4EE"/>
      <rgbColor rgb="FFFF00FF"/>
      <rgbColor rgb="FF00FFFF"/>
      <rgbColor rgb="FF800000"/>
      <rgbColor rgb="FF0B6A0B"/>
      <rgbColor rgb="FF000080"/>
      <rgbColor rgb="FF5B6570"/>
      <rgbColor rgb="FF800080"/>
      <rgbColor rgb="FF0F6C6C"/>
      <rgbColor rgb="FFC5CDD6"/>
      <rgbColor rgb="FF878787"/>
      <rgbColor rgb="FF9999FF"/>
      <rgbColor rgb="FFBE4B48"/>
      <rgbColor rgb="FFFFF3BF"/>
      <rgbColor rgb="FFEAF6EA"/>
      <rgbColor rgb="FF660066"/>
      <rgbColor rgb="FFFF8080"/>
      <rgbColor rgb="FF0B4F8A"/>
      <rgbColor rgb="FFD9D9D9"/>
      <rgbColor rgb="FF000080"/>
      <rgbColor rgb="FFFF00FF"/>
      <rgbColor rgb="FFF3F6F4"/>
      <rgbColor rgb="FF00FFFF"/>
      <rgbColor rgb="FF800080"/>
      <rgbColor rgb="FF800000"/>
      <rgbColor rgb="FF4A6FA5"/>
      <rgbColor rgb="FF0000FF"/>
      <rgbColor rgb="FF00CCFF"/>
      <rgbColor rgb="FFE8EEF6"/>
      <rgbColor rgb="FFD7EAD3"/>
      <rgbColor rgb="FFF8F1DE"/>
      <rgbColor rgb="FFE3EEDF"/>
      <rgbColor rgb="FFFBE8D3"/>
      <rgbColor rgb="FFF0EBE3"/>
      <rgbColor rgb="FFF8D7DA"/>
      <rgbColor rgb="FF4A7EBB"/>
      <rgbColor rgb="FF33CCCC"/>
      <rgbColor rgb="FF99CC00"/>
      <rgbColor rgb="FFF9F9F9"/>
      <rgbColor rgb="FFFF9900"/>
      <rgbColor rgb="FFFF6600"/>
      <rgbColor rgb="FF6B7280"/>
      <rgbColor rgb="FFC4A35A"/>
      <rgbColor rgb="FF1B365D"/>
      <rgbColor rgb="FF4F81BD"/>
      <rgbColor rgb="FF003300"/>
      <rgbColor rgb="FF3D5A80"/>
      <rgbColor rgb="FF8A4B08"/>
      <rgbColor rgb="FF993366"/>
      <rgbColor rgb="FF2C5282"/>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Gross margin by scenario</a:t>
            </a:r>
          </a:p>
        </c:rich>
      </c:tx>
      <c:overlay val="0"/>
      <c:spPr>
        <a:noFill/>
        <a:ln w="0">
          <a:noFill/>
        </a:ln>
      </c:spPr>
    </c:title>
    <c:autoTitleDeleted val="0"/>
    <c:plotArea>
      <c:barChart>
        <c:barDir val="col"/>
        <c:grouping val="clustered"/>
        <c:varyColors val="0"/>
        <c:ser>
          <c:idx val="0"/>
          <c:order val="0"/>
          <c:tx>
            <c:strRef>
              <c:f>Scenarios!K6</c:f>
              <c:strCache>
                <c:ptCount val="1"/>
                <c:pt idx="0">
                  <c:v>Gross margin</c:v>
                </c:pt>
              </c:strCache>
            </c:strRef>
          </c:tx>
          <c:spPr>
            <a:solidFill>
              <a:srgbClr val="4f81bd"/>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Scenarios!$A$7:$A$11</c:f>
              <c:strCache>
                <c:ptCount val="5"/>
                <c:pt idx="0">
                  <c:v>Base</c:v>
                </c:pt>
                <c:pt idx="1">
                  <c:v>Growth</c:v>
                </c:pt>
                <c:pt idx="2">
                  <c:v>Heavy-user tail</c:v>
                </c:pt>
                <c:pt idx="3">
                  <c:v>Vendor +25%</c:v>
                </c:pt>
                <c:pt idx="4">
                  <c:v>Efficiency</c:v>
                </c:pt>
              </c:strCache>
            </c:strRef>
          </c:cat>
          <c:val>
            <c:numRef>
              <c:f>Scenarios!$K$7:$K$11</c:f>
              <c:numCache>
                <c:formatCode>0.0%</c:formatCode>
                <c:ptCount val="5"/>
                <c:pt idx="0">
                  <c:v>0.791174713333333</c:v>
                </c:pt>
                <c:pt idx="1">
                  <c:v>0.781172069722222</c:v>
                </c:pt>
                <c:pt idx="2">
                  <c:v>0.688609666666667</c:v>
                </c:pt>
                <c:pt idx="3">
                  <c:v>0.768618391666667</c:v>
                </c:pt>
                <c:pt idx="4">
                  <c:v>0.794643360104167</c:v>
                </c:pt>
              </c:numCache>
            </c:numRef>
          </c:val>
        </c:ser>
        <c:gapWidth val="150"/>
        <c:overlap val="0"/>
        <c:axId val="1327548"/>
        <c:axId val="62970513"/>
      </c:barChart>
      <c:catAx>
        <c:axId val="1327548"/>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2970513"/>
        <c:crosses val="autoZero"/>
        <c:auto val="1"/>
        <c:lblAlgn val="ctr"/>
        <c:lblOffset val="100"/>
        <c:noMultiLvlLbl val="0"/>
      </c:catAx>
      <c:valAx>
        <c:axId val="62970513"/>
        <c:scaling>
          <c:orientation val="minMax"/>
          <c:max val="1"/>
          <c:min val="0"/>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Gross margin</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32754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API cost per successful outcome</a:t>
            </a:r>
          </a:p>
        </c:rich>
      </c:tx>
      <c:overlay val="0"/>
      <c:spPr>
        <a:noFill/>
        <a:ln w="0">
          <a:noFill/>
        </a:ln>
      </c:spPr>
    </c:title>
    <c:autoTitleDeleted val="0"/>
    <c:plotArea>
      <c:barChart>
        <c:barDir val="col"/>
        <c:grouping val="clustered"/>
        <c:varyColors val="0"/>
        <c:ser>
          <c:idx val="0"/>
          <c:order val="0"/>
          <c:tx>
            <c:strRef>
              <c:f>Scenarios!G6</c:f>
              <c:strCache>
                <c:ptCount val="1"/>
                <c:pt idx="0">
                  <c:v>API $ / success</c:v>
                </c:pt>
              </c:strCache>
            </c:strRef>
          </c:tx>
          <c:spPr>
            <a:solidFill>
              <a:srgbClr val="4f81bd"/>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Scenarios!$A$7:$A$11</c:f>
              <c:strCache>
                <c:ptCount val="5"/>
                <c:pt idx="0">
                  <c:v>Base</c:v>
                </c:pt>
                <c:pt idx="1">
                  <c:v>Growth</c:v>
                </c:pt>
                <c:pt idx="2">
                  <c:v>Heavy-user tail</c:v>
                </c:pt>
                <c:pt idx="3">
                  <c:v>Vendor +25%</c:v>
                </c:pt>
                <c:pt idx="4">
                  <c:v>Efficiency</c:v>
                </c:pt>
              </c:strCache>
            </c:strRef>
          </c:cat>
          <c:val>
            <c:numRef>
              <c:f>Scenarios!$G$7:$G$11</c:f>
              <c:numCache>
                <c:formatCode>\$#,##0.0000</c:formatCode>
                <c:ptCount val="5"/>
                <c:pt idx="0">
                  <c:v>0.132210560386473</c:v>
                </c:pt>
                <c:pt idx="1">
                  <c:v>0.124079049820789</c:v>
                </c:pt>
                <c:pt idx="2">
                  <c:v>0.134769722222222</c:v>
                </c:pt>
                <c:pt idx="3">
                  <c:v>0.164900881642512</c:v>
                </c:pt>
                <c:pt idx="4">
                  <c:v>0.121904055994152</c:v>
                </c:pt>
              </c:numCache>
            </c:numRef>
          </c:val>
        </c:ser>
        <c:gapWidth val="150"/>
        <c:overlap val="0"/>
        <c:axId val="35051556"/>
        <c:axId val="57378450"/>
      </c:barChart>
      <c:catAx>
        <c:axId val="35051556"/>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7378450"/>
        <c:crosses val="autoZero"/>
        <c:auto val="1"/>
        <c:lblAlgn val="ctr"/>
        <c:lblOffset val="100"/>
        <c:noMultiLvlLbl val="0"/>
      </c:catAx>
      <c:valAx>
        <c:axId val="57378450"/>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USD</a:t>
                </a:r>
              </a:p>
            </c:rich>
          </c:tx>
          <c:overlay val="0"/>
          <c:spPr>
            <a:noFill/>
            <a:ln w="0">
              <a:noFill/>
            </a:ln>
          </c:spPr>
        </c:title>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5051556"/>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Fixed subscription vs usage-driven delivery cost</a:t>
            </a:r>
          </a:p>
        </c:rich>
      </c:tx>
      <c:overlay val="0"/>
      <c:spPr>
        <a:noFill/>
        <a:ln w="0">
          <a:noFill/>
        </a:ln>
      </c:spPr>
    </c:title>
    <c:autoTitleDeleted val="0"/>
    <c:plotArea>
      <c:lineChart>
        <c:grouping val="standard"/>
        <c:varyColors val="0"/>
        <c:ser>
          <c:idx val="0"/>
          <c:order val="0"/>
          <c:tx>
            <c:strRef>
              <c:f>Crossover!B16</c:f>
              <c:strCache>
                <c:ptCount val="1"/>
                <c:pt idx="0">
                  <c:v>Subscription revenue</c:v>
                </c:pt>
              </c:strCache>
            </c:strRef>
          </c:tx>
          <c:spPr>
            <a:solidFill>
              <a:srgbClr val="4a7ebb"/>
            </a:solidFill>
            <a:ln w="47520">
              <a:solidFill>
                <a:srgbClr val="4a7ebb"/>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Crossover!$A$17:$A$37</c:f>
              <c:strCache>
                <c:ptCount val="21"/>
                <c:pt idx="0">
                  <c:v>0</c:v>
                </c:pt>
                <c:pt idx="1">
                  <c:v>5,000</c:v>
                </c:pt>
                <c:pt idx="2">
                  <c:v>10,000</c:v>
                </c:pt>
                <c:pt idx="3">
                  <c:v>15,000</c:v>
                </c:pt>
                <c:pt idx="4">
                  <c:v>20,000</c:v>
                </c:pt>
                <c:pt idx="5">
                  <c:v>25,000</c:v>
                </c:pt>
                <c:pt idx="6">
                  <c:v>30,000</c:v>
                </c:pt>
                <c:pt idx="7">
                  <c:v>35,000</c:v>
                </c:pt>
                <c:pt idx="8">
                  <c:v>40,000</c:v>
                </c:pt>
                <c:pt idx="9">
                  <c:v>45,000</c:v>
                </c:pt>
                <c:pt idx="10">
                  <c:v>50,000</c:v>
                </c:pt>
                <c:pt idx="11">
                  <c:v>55,000</c:v>
                </c:pt>
                <c:pt idx="12">
                  <c:v>60,000</c:v>
                </c:pt>
                <c:pt idx="13">
                  <c:v>65,000</c:v>
                </c:pt>
                <c:pt idx="14">
                  <c:v>70,000</c:v>
                </c:pt>
                <c:pt idx="15">
                  <c:v>75,000</c:v>
                </c:pt>
                <c:pt idx="16">
                  <c:v>80,000</c:v>
                </c:pt>
                <c:pt idx="17">
                  <c:v>85,000</c:v>
                </c:pt>
                <c:pt idx="18">
                  <c:v>90,000</c:v>
                </c:pt>
                <c:pt idx="19">
                  <c:v>95,000</c:v>
                </c:pt>
                <c:pt idx="20">
                  <c:v>100,000</c:v>
                </c:pt>
              </c:strCache>
            </c:strRef>
          </c:cat>
          <c:val>
            <c:numRef>
              <c:f>Crossover!$B$17:$B$37</c:f>
              <c:numCache>
                <c:formatCode>\$#,##0.00</c:formatCode>
                <c:ptCount val="2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numCache>
            </c:numRef>
          </c:val>
          <c:smooth val="1"/>
        </c:ser>
        <c:ser>
          <c:idx val="1"/>
          <c:order val="1"/>
          <c:tx>
            <c:strRef>
              <c:f>Crossover!C16</c:f>
              <c:strCache>
                <c:ptCount val="1"/>
                <c:pt idx="0">
                  <c:v>Delivery cost</c:v>
                </c:pt>
              </c:strCache>
            </c:strRef>
          </c:tx>
          <c:spPr>
            <a:solidFill>
              <a:srgbClr val="be4b48"/>
            </a:solidFill>
            <a:ln w="47520">
              <a:solidFill>
                <a:srgbClr val="be4b48"/>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Crossover!$A$17:$A$37</c:f>
              <c:strCache>
                <c:ptCount val="21"/>
                <c:pt idx="0">
                  <c:v>0</c:v>
                </c:pt>
                <c:pt idx="1">
                  <c:v>5,000</c:v>
                </c:pt>
                <c:pt idx="2">
                  <c:v>10,000</c:v>
                </c:pt>
                <c:pt idx="3">
                  <c:v>15,000</c:v>
                </c:pt>
                <c:pt idx="4">
                  <c:v>20,000</c:v>
                </c:pt>
                <c:pt idx="5">
                  <c:v>25,000</c:v>
                </c:pt>
                <c:pt idx="6">
                  <c:v>30,000</c:v>
                </c:pt>
                <c:pt idx="7">
                  <c:v>35,000</c:v>
                </c:pt>
                <c:pt idx="8">
                  <c:v>40,000</c:v>
                </c:pt>
                <c:pt idx="9">
                  <c:v>45,000</c:v>
                </c:pt>
                <c:pt idx="10">
                  <c:v>50,000</c:v>
                </c:pt>
                <c:pt idx="11">
                  <c:v>55,000</c:v>
                </c:pt>
                <c:pt idx="12">
                  <c:v>60,000</c:v>
                </c:pt>
                <c:pt idx="13">
                  <c:v>65,000</c:v>
                </c:pt>
                <c:pt idx="14">
                  <c:v>70,000</c:v>
                </c:pt>
                <c:pt idx="15">
                  <c:v>75,000</c:v>
                </c:pt>
                <c:pt idx="16">
                  <c:v>80,000</c:v>
                </c:pt>
                <c:pt idx="17">
                  <c:v>85,000</c:v>
                </c:pt>
                <c:pt idx="18">
                  <c:v>90,000</c:v>
                </c:pt>
                <c:pt idx="19">
                  <c:v>95,000</c:v>
                </c:pt>
                <c:pt idx="20">
                  <c:v>100,000</c:v>
                </c:pt>
              </c:strCache>
            </c:strRef>
          </c:cat>
          <c:val>
            <c:numRef>
              <c:f>Crossover!$C$17:$C$37</c:f>
              <c:numCache>
                <c:formatCode>\$#,##0.00</c:formatCode>
                <c:ptCount val="21"/>
                <c:pt idx="0">
                  <c:v>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numCache>
            </c:numRef>
          </c:val>
          <c:smooth val="1"/>
        </c:ser>
        <c:hiLowLines>
          <c:spPr>
            <a:ln w="0">
              <a:noFill/>
            </a:ln>
          </c:spPr>
        </c:hiLowLines>
        <c:marker val="0"/>
        <c:axId val="36345018"/>
        <c:axId val="88107302"/>
      </c:lineChart>
      <c:catAx>
        <c:axId val="36345018"/>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API calls per month</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8107302"/>
        <c:crosses val="autoZero"/>
        <c:auto val="1"/>
        <c:lblAlgn val="ctr"/>
        <c:lblOffset val="100"/>
        <c:noMultiLvlLbl val="0"/>
      </c:catAx>
      <c:valAx>
        <c:axId val="88107302"/>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USD per customer-month</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6345018"/>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2.xml.rels><?xml version="1.0" encoding="UTF-8"?>
<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16</xdr:row>
      <xdr:rowOff>101160</xdr:rowOff>
    </xdr:from>
    <xdr:to>
      <xdr:col>5</xdr:col>
      <xdr:colOff>464760</xdr:colOff>
      <xdr:row>29</xdr:row>
      <xdr:rowOff>143280</xdr:rowOff>
    </xdr:to>
    <xdr:graphicFrame>
      <xdr:nvGraphicFramePr>
        <xdr:cNvPr id="0" name="Chart 1"/>
        <xdr:cNvGraphicFramePr/>
      </xdr:nvGraphicFramePr>
      <xdr:xfrm>
        <a:off x="0" y="4168440"/>
        <a:ext cx="5398560" cy="251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16</xdr:row>
      <xdr:rowOff>101160</xdr:rowOff>
    </xdr:from>
    <xdr:to>
      <xdr:col>13</xdr:col>
      <xdr:colOff>41760</xdr:colOff>
      <xdr:row>29</xdr:row>
      <xdr:rowOff>143280</xdr:rowOff>
    </xdr:to>
    <xdr:graphicFrame>
      <xdr:nvGraphicFramePr>
        <xdr:cNvPr id="1" name="Chart 2"/>
        <xdr:cNvGraphicFramePr/>
      </xdr:nvGraphicFramePr>
      <xdr:xfrm>
        <a:off x="7894440" y="4168440"/>
        <a:ext cx="5398560" cy="25185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0</xdr:colOff>
      <xdr:row>2</xdr:row>
      <xdr:rowOff>101160</xdr:rowOff>
    </xdr:from>
    <xdr:to>
      <xdr:col>13</xdr:col>
      <xdr:colOff>132840</xdr:colOff>
      <xdr:row>18</xdr:row>
      <xdr:rowOff>70560</xdr:rowOff>
    </xdr:to>
    <xdr:graphicFrame>
      <xdr:nvGraphicFramePr>
        <xdr:cNvPr id="2" name="Chart 1"/>
        <xdr:cNvGraphicFramePr/>
      </xdr:nvGraphicFramePr>
      <xdr:xfrm>
        <a:off x="9444960" y="987120"/>
        <a:ext cx="6478560" cy="3598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2.xml.rels><?xml version="1.0" encoding="UTF-8"?>
<Relationships xmlns="http://schemas.openxmlformats.org/package/2006/relationships"><Relationship Id="rId1" Type="http://schemas.openxmlformats.org/officeDocument/2006/relationships/hyperlink" Target="https://productify.substack.com/p/p-and-l-management-for-product-leads" TargetMode="External"/><Relationship Id="rId2" Type="http://schemas.openxmlformats.org/officeDocument/2006/relationships/hyperlink" Target="https://www.finops.org/framework/capabilities/unit-economics/" TargetMode="External"/><Relationship Id="rId3" Type="http://schemas.openxmlformats.org/officeDocument/2006/relationships/hyperlink" Target="https://docs.cloudzero.com/docs/unit-economics" TargetMode="External"/><Relationship Id="rId4" Type="http://schemas.openxmlformats.org/officeDocument/2006/relationships/hyperlink" Target="https://www.cloudzero.com/blog/api-metrics/" TargetMode="External"/><Relationship Id="rId5" Type="http://schemas.openxmlformats.org/officeDocument/2006/relationships/hyperlink" Target="https://ainativeproductmanager.com/builders-stack/frontier/unit-economics/cost-per-task" TargetMode="External"/><Relationship Id="rId6" Type="http://schemas.openxmlformats.org/officeDocument/2006/relationships/hyperlink" Target="https://www.mindtheproduct.com/the-3-financial-metrics-every-pm-needs-on-their-scorecard/" TargetMode="External"/><Relationship Id="rId7" Type="http://schemas.openxmlformats.org/officeDocument/2006/relationships/hyperlink" Target="https://www.productcoalition.com/p/the-number-your-board-asks-first" TargetMode="External"/><Relationship Id="rId8" Type="http://schemas.openxmlformats.org/officeDocument/2006/relationships/hyperlink" Target="https://godigitalml.medium.com/api-kpis-part-2-the-api-product-management-kpis-worksheet-d984d9369ff3" TargetMode="Externa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_rels/sheet8.xml.rels><?xml version="1.0" encoding="UTF-8"?>
<Relationships xmlns="http://schemas.openxmlformats.org/package/2006/relationships"><Relationship Id="rId1" Type="http://schemas.openxmlformats.org/officeDocument/2006/relationships/drawing" Target="../drawings/drawing1.xml"/>
</Relationships>
</file>

<file path=xl/worksheets/_rels/sheet9.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365D"/>
    <pageSetUpPr fitToPage="true"/>
  </sheetPr>
  <dimension ref="A1:C5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28"/>
    <col collapsed="false" customWidth="true" hidden="false" outlineLevel="0" max="3" min="3" style="1" width="88"/>
    <col collapsed="false" customWidth="true" hidden="false" outlineLevel="0" max="8" min="4" style="1" width="22"/>
  </cols>
  <sheetData>
    <row r="1" customFormat="false" ht="27.75" hidden="false" customHeight="true" outlineLevel="0" collapsed="false">
      <c r="A1" s="2" t="s">
        <v>0</v>
      </c>
      <c r="B1" s="2"/>
      <c r="C1" s="2"/>
    </row>
    <row r="2" customFormat="false" ht="19.5" hidden="false" customHeight="true" outlineLevel="0" collapsed="false">
      <c r="A2" s="3" t="s">
        <v>1</v>
      </c>
      <c r="B2" s="3"/>
      <c r="C2" s="3"/>
    </row>
    <row r="4" customFormat="false" ht="21.75" hidden="false" customHeight="true" outlineLevel="0" collapsed="false">
      <c r="A4" s="4" t="s">
        <v>2</v>
      </c>
      <c r="B4" s="4"/>
      <c r="C4" s="4"/>
    </row>
    <row r="5" customFormat="false" ht="36" hidden="false" customHeight="true" outlineLevel="0" collapsed="false">
      <c r="A5" s="5" t="s">
        <v>3</v>
      </c>
      <c r="B5" s="5"/>
      <c r="C5" s="5"/>
    </row>
    <row r="7" customFormat="false" ht="21.75" hidden="false" customHeight="true" outlineLevel="0" collapsed="false">
      <c r="A7" s="4" t="s">
        <v>4</v>
      </c>
      <c r="B7" s="4"/>
      <c r="C7" s="4"/>
    </row>
    <row r="8" customFormat="false" ht="27.75" hidden="false" customHeight="true" outlineLevel="0" collapsed="false">
      <c r="A8" s="6" t="s">
        <v>5</v>
      </c>
      <c r="B8" s="7" t="s">
        <v>6</v>
      </c>
      <c r="C8" s="8" t="s">
        <v>7</v>
      </c>
    </row>
    <row r="9" customFormat="false" ht="27.75" hidden="false" customHeight="true" outlineLevel="0" collapsed="false">
      <c r="A9" s="6" t="s">
        <v>8</v>
      </c>
      <c r="B9" s="7" t="s">
        <v>9</v>
      </c>
      <c r="C9" s="8" t="s">
        <v>10</v>
      </c>
    </row>
    <row r="10" customFormat="false" ht="27.75" hidden="false" customHeight="true" outlineLevel="0" collapsed="false">
      <c r="A10" s="6" t="s">
        <v>11</v>
      </c>
      <c r="B10" s="7" t="s">
        <v>12</v>
      </c>
      <c r="C10" s="8" t="s">
        <v>13</v>
      </c>
    </row>
    <row r="11" customFormat="false" ht="27.75" hidden="false" customHeight="true" outlineLevel="0" collapsed="false">
      <c r="A11" s="6" t="s">
        <v>14</v>
      </c>
      <c r="B11" s="7" t="s">
        <v>15</v>
      </c>
      <c r="C11" s="8" t="s">
        <v>16</v>
      </c>
    </row>
    <row r="12" customFormat="false" ht="27.75" hidden="false" customHeight="true" outlineLevel="0" collapsed="false">
      <c r="A12" s="6" t="s">
        <v>17</v>
      </c>
      <c r="B12" s="7" t="s">
        <v>18</v>
      </c>
      <c r="C12" s="8" t="s">
        <v>19</v>
      </c>
    </row>
    <row r="13" customFormat="false" ht="27.75" hidden="false" customHeight="true" outlineLevel="0" collapsed="false">
      <c r="A13" s="6" t="s">
        <v>20</v>
      </c>
      <c r="B13" s="7" t="s">
        <v>21</v>
      </c>
      <c r="C13" s="8" t="s">
        <v>22</v>
      </c>
    </row>
    <row r="14" customFormat="false" ht="27.75" hidden="false" customHeight="true" outlineLevel="0" collapsed="false">
      <c r="A14" s="6" t="s">
        <v>23</v>
      </c>
      <c r="B14" s="7" t="s">
        <v>24</v>
      </c>
      <c r="C14" s="8" t="s">
        <v>25</v>
      </c>
    </row>
    <row r="15" customFormat="false" ht="27.75" hidden="false" customHeight="true" outlineLevel="0" collapsed="false">
      <c r="A15" s="6" t="s">
        <v>26</v>
      </c>
      <c r="B15" s="7" t="s">
        <v>27</v>
      </c>
      <c r="C15" s="8" t="s">
        <v>28</v>
      </c>
    </row>
    <row r="17" customFormat="false" ht="21.75" hidden="false" customHeight="true" outlineLevel="0" collapsed="false">
      <c r="A17" s="4" t="s">
        <v>29</v>
      </c>
      <c r="B17" s="4"/>
      <c r="C17" s="4"/>
    </row>
    <row r="18" customFormat="false" ht="15" hidden="false" customHeight="true" outlineLevel="0" collapsed="false">
      <c r="A18" s="9"/>
      <c r="B18" s="10" t="s">
        <v>30</v>
      </c>
      <c r="C18" s="8" t="s">
        <v>31</v>
      </c>
    </row>
    <row r="19" customFormat="false" ht="15" hidden="false" customHeight="true" outlineLevel="0" collapsed="false">
      <c r="A19" s="11"/>
      <c r="B19" s="12" t="s">
        <v>32</v>
      </c>
      <c r="C19" s="8" t="s">
        <v>33</v>
      </c>
    </row>
    <row r="20" customFormat="false" ht="15" hidden="false" customHeight="true" outlineLevel="0" collapsed="false">
      <c r="A20" s="13"/>
      <c r="B20" s="14" t="s">
        <v>34</v>
      </c>
      <c r="C20" s="8" t="s">
        <v>35</v>
      </c>
    </row>
    <row r="21" customFormat="false" ht="15" hidden="false" customHeight="true" outlineLevel="0" collapsed="false">
      <c r="A21" s="15"/>
      <c r="B21" s="16" t="s">
        <v>36</v>
      </c>
      <c r="C21" s="8" t="s">
        <v>37</v>
      </c>
    </row>
    <row r="22" customFormat="false" ht="15" hidden="false" customHeight="true" outlineLevel="0" collapsed="false">
      <c r="A22" s="17"/>
      <c r="B22" s="18" t="s">
        <v>38</v>
      </c>
      <c r="C22" s="8" t="s">
        <v>39</v>
      </c>
    </row>
    <row r="24" customFormat="false" ht="21.75" hidden="false" customHeight="true" outlineLevel="0" collapsed="false">
      <c r="A24" s="4" t="s">
        <v>40</v>
      </c>
      <c r="B24" s="4"/>
      <c r="C24" s="4"/>
    </row>
    <row r="25" customFormat="false" ht="27.75" hidden="false" customHeight="true" outlineLevel="0" collapsed="false">
      <c r="A25" s="19" t="s">
        <v>41</v>
      </c>
      <c r="B25" s="19" t="s">
        <v>42</v>
      </c>
      <c r="C25" s="19" t="s">
        <v>43</v>
      </c>
    </row>
    <row r="26" customFormat="false" ht="21.75" hidden="false" customHeight="true" outlineLevel="0" collapsed="false">
      <c r="A26" s="20" t="s">
        <v>44</v>
      </c>
      <c r="B26" s="8" t="s">
        <v>45</v>
      </c>
      <c r="C26" s="21" t="s">
        <v>46</v>
      </c>
    </row>
    <row r="27" customFormat="false" ht="21.75" hidden="false" customHeight="true" outlineLevel="0" collapsed="false">
      <c r="A27" s="20" t="s">
        <v>47</v>
      </c>
      <c r="B27" s="8" t="s">
        <v>48</v>
      </c>
      <c r="C27" s="21" t="s">
        <v>49</v>
      </c>
    </row>
    <row r="28" customFormat="false" ht="21.75" hidden="false" customHeight="true" outlineLevel="0" collapsed="false">
      <c r="A28" s="20" t="s">
        <v>9</v>
      </c>
      <c r="B28" s="8" t="s">
        <v>50</v>
      </c>
      <c r="C28" s="21" t="s">
        <v>51</v>
      </c>
    </row>
    <row r="29" customFormat="false" ht="21.75" hidden="false" customHeight="true" outlineLevel="0" collapsed="false">
      <c r="A29" s="20" t="s">
        <v>12</v>
      </c>
      <c r="B29" s="8" t="s">
        <v>52</v>
      </c>
      <c r="C29" s="21" t="s">
        <v>53</v>
      </c>
    </row>
    <row r="30" customFormat="false" ht="21.75" hidden="false" customHeight="true" outlineLevel="0" collapsed="false">
      <c r="A30" s="20" t="s">
        <v>15</v>
      </c>
      <c r="B30" s="8" t="s">
        <v>54</v>
      </c>
      <c r="C30" s="21" t="s">
        <v>55</v>
      </c>
    </row>
    <row r="31" customFormat="false" ht="21.75" hidden="false" customHeight="true" outlineLevel="0" collapsed="false">
      <c r="A31" s="20" t="s">
        <v>56</v>
      </c>
      <c r="B31" s="8" t="s">
        <v>57</v>
      </c>
      <c r="C31" s="21" t="s">
        <v>58</v>
      </c>
    </row>
    <row r="32" customFormat="false" ht="21.75" hidden="false" customHeight="true" outlineLevel="0" collapsed="false">
      <c r="A32" s="20" t="s">
        <v>59</v>
      </c>
      <c r="B32" s="8" t="s">
        <v>60</v>
      </c>
      <c r="C32" s="21" t="s">
        <v>61</v>
      </c>
    </row>
    <row r="33" customFormat="false" ht="21.75" hidden="false" customHeight="true" outlineLevel="0" collapsed="false">
      <c r="A33" s="20" t="s">
        <v>21</v>
      </c>
      <c r="B33" s="8" t="s">
        <v>62</v>
      </c>
      <c r="C33" s="21" t="s">
        <v>63</v>
      </c>
    </row>
    <row r="34" customFormat="false" ht="21.75" hidden="false" customHeight="true" outlineLevel="0" collapsed="false">
      <c r="A34" s="20" t="s">
        <v>24</v>
      </c>
      <c r="B34" s="8" t="s">
        <v>64</v>
      </c>
      <c r="C34" s="21" t="s">
        <v>65</v>
      </c>
    </row>
    <row r="35" customFormat="false" ht="21.75" hidden="false" customHeight="true" outlineLevel="0" collapsed="false">
      <c r="A35" s="20" t="s">
        <v>27</v>
      </c>
      <c r="B35" s="8" t="s">
        <v>66</v>
      </c>
      <c r="C35" s="21" t="s">
        <v>67</v>
      </c>
    </row>
    <row r="36" customFormat="false" ht="21.75" hidden="false" customHeight="true" outlineLevel="0" collapsed="false">
      <c r="A36" s="20" t="s">
        <v>68</v>
      </c>
      <c r="B36" s="8" t="s">
        <v>69</v>
      </c>
      <c r="C36" s="21" t="s">
        <v>70</v>
      </c>
    </row>
    <row r="37" customFormat="false" ht="21.75" hidden="false" customHeight="true" outlineLevel="0" collapsed="false">
      <c r="A37" s="20" t="s">
        <v>71</v>
      </c>
      <c r="B37" s="8" t="s">
        <v>72</v>
      </c>
      <c r="C37" s="21" t="s">
        <v>73</v>
      </c>
    </row>
    <row r="39" customFormat="false" ht="21.75" hidden="false" customHeight="true" outlineLevel="0" collapsed="false">
      <c r="A39" s="4" t="s">
        <v>74</v>
      </c>
      <c r="B39" s="4"/>
      <c r="C39" s="4"/>
    </row>
    <row r="40" customFormat="false" ht="27.75" hidden="false" customHeight="true" outlineLevel="0" collapsed="false">
      <c r="A40" s="22" t="s">
        <v>75</v>
      </c>
      <c r="B40" s="22"/>
      <c r="C40" s="22"/>
    </row>
    <row r="41" customFormat="false" ht="27.75" hidden="false" customHeight="true" outlineLevel="0" collapsed="false">
      <c r="A41" s="23" t="s">
        <v>76</v>
      </c>
      <c r="B41" s="23"/>
      <c r="C41" s="23"/>
    </row>
    <row r="42" customFormat="false" ht="27.75" hidden="false" customHeight="true" outlineLevel="0" collapsed="false">
      <c r="A42" s="22" t="s">
        <v>77</v>
      </c>
      <c r="B42" s="22"/>
      <c r="C42" s="22"/>
    </row>
    <row r="43" customFormat="false" ht="27.75" hidden="false" customHeight="true" outlineLevel="0" collapsed="false">
      <c r="A43" s="23" t="s">
        <v>78</v>
      </c>
      <c r="B43" s="23"/>
      <c r="C43" s="23"/>
    </row>
    <row r="44" customFormat="false" ht="27.75" hidden="false" customHeight="true" outlineLevel="0" collapsed="false">
      <c r="A44" s="22" t="s">
        <v>79</v>
      </c>
      <c r="B44" s="22"/>
      <c r="C44" s="22"/>
    </row>
    <row r="45" customFormat="false" ht="27.75" hidden="false" customHeight="true" outlineLevel="0" collapsed="false">
      <c r="A45" s="23" t="s">
        <v>80</v>
      </c>
      <c r="B45" s="23"/>
      <c r="C45" s="23"/>
    </row>
    <row r="46" customFormat="false" ht="27.75" hidden="false" customHeight="true" outlineLevel="0" collapsed="false">
      <c r="A46" s="22" t="s">
        <v>81</v>
      </c>
      <c r="B46" s="22"/>
      <c r="C46" s="22"/>
    </row>
    <row r="47" customFormat="false" ht="27.75" hidden="false" customHeight="true" outlineLevel="0" collapsed="false">
      <c r="A47" s="23" t="s">
        <v>82</v>
      </c>
      <c r="B47" s="23"/>
      <c r="C47" s="23"/>
    </row>
    <row r="49" customFormat="false" ht="21.75" hidden="false" customHeight="true" outlineLevel="0" collapsed="false">
      <c r="A49" s="4" t="s">
        <v>83</v>
      </c>
      <c r="B49" s="4"/>
      <c r="C49" s="4"/>
    </row>
    <row r="50" customFormat="false" ht="48" hidden="false" customHeight="true" outlineLevel="0" collapsed="false">
      <c r="A50" s="24" t="s">
        <v>84</v>
      </c>
      <c r="B50" s="24"/>
      <c r="C50" s="24"/>
    </row>
    <row r="52" customFormat="false" ht="21.75" hidden="false" customHeight="true" outlineLevel="0" collapsed="false">
      <c r="A52" s="4" t="s">
        <v>85</v>
      </c>
      <c r="B52" s="4"/>
      <c r="C52" s="4"/>
    </row>
    <row r="53" customFormat="false" ht="39.75" hidden="false" customHeight="true" outlineLevel="0" collapsed="false">
      <c r="A53" s="25" t="s">
        <v>86</v>
      </c>
      <c r="B53" s="25"/>
      <c r="C53" s="25"/>
    </row>
  </sheetData>
  <mergeCells count="20">
    <mergeCell ref="A1:C1"/>
    <mergeCell ref="A2:C2"/>
    <mergeCell ref="A4:C4"/>
    <mergeCell ref="A5:C5"/>
    <mergeCell ref="A7:C7"/>
    <mergeCell ref="A17:C17"/>
    <mergeCell ref="A24:C24"/>
    <mergeCell ref="A39:C39"/>
    <mergeCell ref="A40:C40"/>
    <mergeCell ref="A41:C41"/>
    <mergeCell ref="A42:C42"/>
    <mergeCell ref="A43:C43"/>
    <mergeCell ref="A44:C44"/>
    <mergeCell ref="A45:C45"/>
    <mergeCell ref="A46:C46"/>
    <mergeCell ref="A47:C47"/>
    <mergeCell ref="A49:C49"/>
    <mergeCell ref="A50:C50"/>
    <mergeCell ref="A52:C52"/>
    <mergeCell ref="A53:C53"/>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&amp;LReadMe</oddHeader>
    <oddFooter>&amp;LIllustrative management model — not a GAAP statement&amp;RPage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A6FA5"/>
    <pageSetUpPr fitToPage="true"/>
  </sheetPr>
  <dimension ref="A1:D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8"/>
    <col collapsed="false" customWidth="true" hidden="false" outlineLevel="0" max="3" min="2" style="1" width="18"/>
    <col collapsed="false" customWidth="true" hidden="false" outlineLevel="0" max="4" min="4" style="1" width="64"/>
  </cols>
  <sheetData>
    <row r="1" customFormat="false" ht="21.75" hidden="false" customHeight="true" outlineLevel="0" collapsed="false">
      <c r="A1" s="26" t="s">
        <v>453</v>
      </c>
      <c r="B1" s="26"/>
      <c r="C1" s="26"/>
      <c r="D1" s="26"/>
    </row>
    <row r="2" customFormat="false" ht="15" hidden="false" customHeight="true" outlineLevel="0" collapsed="false">
      <c r="A2" s="3" t="s">
        <v>454</v>
      </c>
      <c r="B2" s="3"/>
      <c r="C2" s="3"/>
      <c r="D2" s="3"/>
    </row>
    <row r="4" customFormat="false" ht="21.75" hidden="false" customHeight="true" outlineLevel="0" collapsed="false">
      <c r="A4" s="4" t="s">
        <v>455</v>
      </c>
      <c r="B4" s="4"/>
      <c r="C4" s="4"/>
      <c r="D4" s="4"/>
    </row>
    <row r="5" customFormat="false" ht="27.75" hidden="false" customHeight="true" outlineLevel="0" collapsed="false">
      <c r="A5" s="55" t="s">
        <v>456</v>
      </c>
      <c r="B5" s="63" t="n">
        <f aca="false">Assumptions!B60</f>
        <v>120</v>
      </c>
      <c r="D5" s="8" t="s">
        <v>457</v>
      </c>
    </row>
    <row r="6" customFormat="false" ht="27.75" hidden="false" customHeight="true" outlineLevel="0" collapsed="false">
      <c r="A6" s="55" t="s">
        <v>458</v>
      </c>
      <c r="B6" s="64" t="n">
        <f aca="false">Assumptions!B61</f>
        <v>90</v>
      </c>
      <c r="D6" s="8" t="s">
        <v>459</v>
      </c>
    </row>
    <row r="7" customFormat="false" ht="27.75" hidden="false" customHeight="true" outlineLevel="0" collapsed="false">
      <c r="A7" s="55" t="s">
        <v>460</v>
      </c>
      <c r="B7" s="64" t="n">
        <f aca="false">Assumptions!B62</f>
        <v>10</v>
      </c>
      <c r="D7" s="8" t="s">
        <v>461</v>
      </c>
    </row>
    <row r="8" customFormat="false" ht="27.75" hidden="false" customHeight="true" outlineLevel="0" collapsed="false">
      <c r="A8" s="55" t="s">
        <v>462</v>
      </c>
      <c r="B8" s="94" t="n">
        <f aca="false">MAX(0,B6-B7)</f>
        <v>80</v>
      </c>
      <c r="D8" s="8" t="s">
        <v>463</v>
      </c>
    </row>
    <row r="9" customFormat="false" ht="27.75" hidden="false" customHeight="true" outlineLevel="0" collapsed="false">
      <c r="A9" s="55" t="s">
        <v>464</v>
      </c>
      <c r="B9" s="65" t="n">
        <f aca="false">Assumptions!B63</f>
        <v>18</v>
      </c>
      <c r="D9" s="8" t="s">
        <v>465</v>
      </c>
    </row>
    <row r="10" customFormat="false" ht="27.75" hidden="false" customHeight="true" outlineLevel="0" collapsed="false">
      <c r="A10" s="55" t="s">
        <v>466</v>
      </c>
      <c r="B10" s="65" t="n">
        <f aca="false">Assumptions!B64</f>
        <v>5.25</v>
      </c>
      <c r="D10" s="8" t="s">
        <v>467</v>
      </c>
    </row>
    <row r="11" customFormat="false" ht="27.75" hidden="false" customHeight="true" outlineLevel="0" collapsed="false">
      <c r="A11" s="55" t="s">
        <v>468</v>
      </c>
      <c r="B11" s="65" t="n">
        <f aca="false">Assumptions!B65</f>
        <v>1.8</v>
      </c>
      <c r="D11" s="8" t="s">
        <v>469</v>
      </c>
    </row>
    <row r="12" customFormat="false" ht="27.75" hidden="false" customHeight="true" outlineLevel="0" collapsed="false">
      <c r="A12" s="55" t="s">
        <v>470</v>
      </c>
      <c r="B12" s="65" t="n">
        <f aca="false">Assumptions!B66</f>
        <v>95</v>
      </c>
      <c r="D12" s="8" t="s">
        <v>471</v>
      </c>
    </row>
    <row r="14" customFormat="false" ht="21.75" hidden="false" customHeight="true" outlineLevel="0" collapsed="false">
      <c r="A14" s="4" t="s">
        <v>472</v>
      </c>
      <c r="B14" s="4"/>
      <c r="C14" s="4"/>
      <c r="D14" s="4"/>
    </row>
    <row r="15" customFormat="false" ht="27.75" hidden="false" customHeight="true" outlineLevel="0" collapsed="false">
      <c r="A15" s="55" t="s">
        <v>473</v>
      </c>
      <c r="B15" s="90" t="n">
        <f aca="false">B5*B6</f>
        <v>10800</v>
      </c>
      <c r="D15" s="8" t="s">
        <v>474</v>
      </c>
    </row>
    <row r="16" customFormat="false" ht="27.75" hidden="false" customHeight="true" outlineLevel="0" collapsed="false">
      <c r="A16" s="55" t="s">
        <v>237</v>
      </c>
      <c r="B16" s="90" t="n">
        <f aca="false">B5*B7</f>
        <v>1200</v>
      </c>
      <c r="D16" s="8" t="s">
        <v>475</v>
      </c>
    </row>
    <row r="17" customFormat="false" ht="27.75" hidden="false" customHeight="true" outlineLevel="0" collapsed="false">
      <c r="A17" s="55" t="s">
        <v>476</v>
      </c>
      <c r="B17" s="90" t="n">
        <f aca="false">B5*B8</f>
        <v>9600</v>
      </c>
      <c r="D17" s="8" t="s">
        <v>477</v>
      </c>
    </row>
    <row r="18" customFormat="false" ht="27.75" hidden="false" customHeight="true" outlineLevel="0" collapsed="false">
      <c r="A18" s="55" t="s">
        <v>478</v>
      </c>
      <c r="B18" s="60" t="n">
        <f aca="false">B17*B9</f>
        <v>172800</v>
      </c>
      <c r="D18" s="8" t="s">
        <v>479</v>
      </c>
    </row>
    <row r="19" customFormat="false" ht="27.75" hidden="false" customHeight="true" outlineLevel="0" collapsed="false">
      <c r="A19" s="55" t="s">
        <v>480</v>
      </c>
      <c r="B19" s="60" t="n">
        <f aca="false">B15*B10</f>
        <v>56700</v>
      </c>
      <c r="D19" s="8" t="s">
        <v>481</v>
      </c>
    </row>
    <row r="20" customFormat="false" ht="27.75" hidden="false" customHeight="true" outlineLevel="0" collapsed="false">
      <c r="A20" s="55" t="s">
        <v>482</v>
      </c>
      <c r="B20" s="60" t="n">
        <f aca="false">B15*B11</f>
        <v>19440</v>
      </c>
      <c r="D20" s="8" t="s">
        <v>483</v>
      </c>
    </row>
    <row r="21" customFormat="false" ht="27.75" hidden="false" customHeight="true" outlineLevel="0" collapsed="false">
      <c r="A21" s="55" t="s">
        <v>484</v>
      </c>
      <c r="B21" s="72" t="n">
        <f aca="false">B5*B12</f>
        <v>11400</v>
      </c>
      <c r="D21" s="8" t="s">
        <v>485</v>
      </c>
    </row>
    <row r="22" customFormat="false" ht="27.75" hidden="false" customHeight="true" outlineLevel="0" collapsed="false">
      <c r="A22" s="55" t="s">
        <v>225</v>
      </c>
      <c r="B22" s="65" t="n">
        <f aca="false">Assumptions!B67</f>
        <v>18000</v>
      </c>
      <c r="D22" s="8" t="s">
        <v>486</v>
      </c>
    </row>
    <row r="23" customFormat="false" ht="27.75" hidden="false" customHeight="true" outlineLevel="0" collapsed="false">
      <c r="A23" s="55" t="s">
        <v>487</v>
      </c>
      <c r="B23" s="60" t="n">
        <f aca="false">SUM(B19:B22)</f>
        <v>105540</v>
      </c>
      <c r="D23" s="8" t="s">
        <v>488</v>
      </c>
    </row>
    <row r="24" customFormat="false" ht="27.75" hidden="false" customHeight="true" outlineLevel="0" collapsed="false">
      <c r="A24" s="55" t="s">
        <v>489</v>
      </c>
      <c r="B24" s="60" t="n">
        <f aca="false">B18-B23</f>
        <v>67260</v>
      </c>
      <c r="D24" s="8" t="s">
        <v>490</v>
      </c>
    </row>
    <row r="25" customFormat="false" ht="27.75" hidden="false" customHeight="true" outlineLevel="0" collapsed="false">
      <c r="A25" s="55" t="s">
        <v>94</v>
      </c>
      <c r="B25" s="85" t="n">
        <f aca="false">IF(B18=0,0,B24/B18)</f>
        <v>0.389236111111111</v>
      </c>
      <c r="D25" s="8" t="s">
        <v>491</v>
      </c>
    </row>
    <row r="26" customFormat="false" ht="27.75" hidden="false" customHeight="true" outlineLevel="0" collapsed="false">
      <c r="A26" s="55" t="s">
        <v>492</v>
      </c>
      <c r="B26" s="60" t="n">
        <f aca="false">B16*(B10+B11)</f>
        <v>8460</v>
      </c>
      <c r="D26" s="8" t="s">
        <v>493</v>
      </c>
    </row>
    <row r="27" customFormat="false" ht="27.75" hidden="false" customHeight="true" outlineLevel="0" collapsed="false">
      <c r="A27" s="55" t="s">
        <v>226</v>
      </c>
      <c r="B27" s="65" t="n">
        <f aca="false">Assumptions!B68</f>
        <v>22000</v>
      </c>
      <c r="D27" s="8" t="s">
        <v>494</v>
      </c>
    </row>
    <row r="28" customFormat="false" ht="27.75" hidden="false" customHeight="true" outlineLevel="0" collapsed="false">
      <c r="A28" s="55" t="s">
        <v>495</v>
      </c>
      <c r="B28" s="60" t="n">
        <f aca="false">B24-B27</f>
        <v>45260</v>
      </c>
      <c r="D28" s="8" t="s">
        <v>496</v>
      </c>
    </row>
    <row r="29" customFormat="false" ht="27.75" hidden="false" customHeight="true" outlineLevel="0" collapsed="false">
      <c r="A29" s="55" t="s">
        <v>353</v>
      </c>
      <c r="B29" s="85" t="n">
        <f aca="false">IF(B18=0,0,B28/B18)</f>
        <v>0.261921296296296</v>
      </c>
      <c r="D29" s="8" t="s">
        <v>497</v>
      </c>
    </row>
    <row r="30" customFormat="false" ht="27.75" hidden="false" customHeight="true" outlineLevel="0" collapsed="false">
      <c r="A30" s="55" t="s">
        <v>498</v>
      </c>
      <c r="B30" s="72" t="n">
        <f aca="false">B10+B11</f>
        <v>7.05</v>
      </c>
      <c r="D30" s="8" t="s">
        <v>499</v>
      </c>
    </row>
    <row r="31" customFormat="false" ht="27.75" hidden="false" customHeight="true" outlineLevel="0" collapsed="false">
      <c r="A31" s="55" t="s">
        <v>500</v>
      </c>
      <c r="B31" s="86" t="n">
        <f aca="false">IF(B30=0,0,B9/B30)</f>
        <v>2.5531914893617</v>
      </c>
      <c r="D31" s="8" t="s">
        <v>501</v>
      </c>
    </row>
    <row r="33" customFormat="false" ht="21.75" hidden="false" customHeight="true" outlineLevel="0" collapsed="false">
      <c r="A33" s="4" t="s">
        <v>502</v>
      </c>
      <c r="B33" s="4"/>
      <c r="C33" s="4"/>
      <c r="D33" s="4"/>
    </row>
    <row r="34" customFormat="false" ht="27.75" hidden="false" customHeight="true" outlineLevel="0" collapsed="false">
      <c r="A34" s="55" t="s">
        <v>503</v>
      </c>
      <c r="B34" s="64" t="n">
        <f aca="false">Assumptions!B69</f>
        <v>400</v>
      </c>
      <c r="D34" s="8" t="s">
        <v>504</v>
      </c>
    </row>
    <row r="35" customFormat="false" ht="27.75" hidden="false" customHeight="true" outlineLevel="0" collapsed="false">
      <c r="A35" s="55" t="s">
        <v>505</v>
      </c>
      <c r="B35" s="94" t="n">
        <f aca="false">MAX(0,B34-B7)</f>
        <v>390</v>
      </c>
      <c r="D35" s="8" t="s">
        <v>506</v>
      </c>
    </row>
    <row r="36" customFormat="false" ht="27.75" hidden="false" customHeight="true" outlineLevel="0" collapsed="false">
      <c r="A36" s="55" t="s">
        <v>273</v>
      </c>
      <c r="B36" s="60" t="n">
        <f aca="false">B35*B9</f>
        <v>7020</v>
      </c>
      <c r="D36" s="8" t="s">
        <v>507</v>
      </c>
    </row>
    <row r="37" customFormat="false" ht="27.75" hidden="false" customHeight="true" outlineLevel="0" collapsed="false">
      <c r="A37" s="55" t="s">
        <v>508</v>
      </c>
      <c r="B37" s="60" t="n">
        <f aca="false">B34*(B10+B11)</f>
        <v>2820</v>
      </c>
      <c r="D37" s="8" t="s">
        <v>509</v>
      </c>
    </row>
    <row r="38" customFormat="false" ht="27.75" hidden="false" customHeight="true" outlineLevel="0" collapsed="false">
      <c r="A38" s="55" t="s">
        <v>510</v>
      </c>
      <c r="B38" s="65" t="n">
        <f aca="false">B12</f>
        <v>95</v>
      </c>
      <c r="D38" s="8" t="s">
        <v>511</v>
      </c>
    </row>
    <row r="39" customFormat="false" ht="27.75" hidden="false" customHeight="true" outlineLevel="0" collapsed="false">
      <c r="A39" s="55" t="s">
        <v>512</v>
      </c>
      <c r="B39" s="60" t="n">
        <f aca="false">B36-B37-B38</f>
        <v>4105</v>
      </c>
      <c r="D39" s="8" t="s">
        <v>513</v>
      </c>
    </row>
    <row r="40" customFormat="false" ht="27.75" hidden="false" customHeight="true" outlineLevel="0" collapsed="false">
      <c r="A40" s="55" t="s">
        <v>514</v>
      </c>
      <c r="B40" s="85" t="n">
        <f aca="false">IF(B36=0,0,B39/B36)</f>
        <v>0.584757834757835</v>
      </c>
      <c r="D40" s="8" t="s">
        <v>515</v>
      </c>
    </row>
    <row r="41" customFormat="false" ht="27.75" hidden="false" customHeight="true" outlineLevel="0" collapsed="false">
      <c r="A41" s="55" t="s">
        <v>516</v>
      </c>
      <c r="B41" s="72" t="n">
        <f aca="false">B36-B37-B38-((B8*B9)-B6*(B10+B11)-B12)</f>
        <v>3394.5</v>
      </c>
      <c r="D41" s="8" t="s">
        <v>517</v>
      </c>
    </row>
    <row r="43" customFormat="false" ht="31.5" hidden="false" customHeight="true" outlineLevel="0" collapsed="false">
      <c r="A43" s="5" t="s">
        <v>518</v>
      </c>
      <c r="B43" s="5"/>
      <c r="C43" s="5"/>
      <c r="D43" s="5"/>
    </row>
  </sheetData>
  <mergeCells count="6">
    <mergeCell ref="A1:D1"/>
    <mergeCell ref="A2:D2"/>
    <mergeCell ref="A4:D4"/>
    <mergeCell ref="A14:D14"/>
    <mergeCell ref="A33:D33"/>
    <mergeCell ref="A43:D43"/>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&amp;LSeller</oddHeader>
    <oddFooter>&amp;LIllustrative management model — not a GAAP statement&amp;RPage &amp;P of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true"/>
  </sheetPr>
  <dimension ref="A1:R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00"/>
    <col collapsed="false" customWidth="true" hidden="false" outlineLevel="0" max="19" min="3" style="1" width="14"/>
  </cols>
  <sheetData>
    <row r="1" customFormat="false" ht="21.75" hidden="false" customHeight="true" outlineLevel="0" collapsed="false">
      <c r="A1" s="26" t="s">
        <v>519</v>
      </c>
      <c r="B1" s="26"/>
      <c r="C1" s="26"/>
      <c r="D1" s="26"/>
      <c r="E1" s="26"/>
      <c r="F1" s="26"/>
      <c r="G1" s="26"/>
      <c r="H1" s="26"/>
      <c r="I1" s="26"/>
      <c r="J1" s="26"/>
      <c r="K1" s="26"/>
      <c r="L1" s="26"/>
      <c r="M1" s="26"/>
      <c r="N1" s="26"/>
      <c r="O1" s="26"/>
      <c r="P1" s="26"/>
      <c r="Q1" s="26"/>
      <c r="R1" s="26"/>
    </row>
    <row r="2" customFormat="false" ht="15" hidden="false" customHeight="true" outlineLevel="0" collapsed="false">
      <c r="A2" s="3" t="s">
        <v>520</v>
      </c>
      <c r="B2" s="3"/>
      <c r="C2" s="3"/>
      <c r="D2" s="3"/>
      <c r="E2" s="3"/>
      <c r="F2" s="3"/>
      <c r="G2" s="3"/>
      <c r="H2" s="3"/>
      <c r="I2" s="3"/>
      <c r="J2" s="3"/>
      <c r="K2" s="3"/>
      <c r="L2" s="3"/>
      <c r="M2" s="3"/>
      <c r="N2" s="3"/>
      <c r="O2" s="3"/>
      <c r="P2" s="3"/>
      <c r="Q2" s="3"/>
      <c r="R2" s="3"/>
    </row>
    <row r="4" customFormat="false" ht="27.75" hidden="false" customHeight="true" outlineLevel="0" collapsed="false">
      <c r="A4" s="19" t="s">
        <v>116</v>
      </c>
      <c r="B4" s="19" t="s">
        <v>232</v>
      </c>
      <c r="C4" s="19" t="s">
        <v>186</v>
      </c>
      <c r="D4" s="19" t="s">
        <v>521</v>
      </c>
      <c r="E4" s="19" t="s">
        <v>188</v>
      </c>
      <c r="F4" s="19" t="s">
        <v>522</v>
      </c>
      <c r="G4" s="19" t="s">
        <v>523</v>
      </c>
      <c r="H4" s="19" t="s">
        <v>524</v>
      </c>
      <c r="I4" s="19" t="s">
        <v>525</v>
      </c>
      <c r="J4" s="19" t="s">
        <v>526</v>
      </c>
      <c r="K4" s="19" t="s">
        <v>527</v>
      </c>
      <c r="L4" s="19" t="s">
        <v>528</v>
      </c>
      <c r="M4" s="19" t="s">
        <v>529</v>
      </c>
      <c r="N4" s="19" t="s">
        <v>530</v>
      </c>
      <c r="O4" s="19" t="s">
        <v>531</v>
      </c>
      <c r="P4" s="19" t="s">
        <v>532</v>
      </c>
      <c r="Q4" s="19" t="s">
        <v>533</v>
      </c>
      <c r="R4" s="19" t="s">
        <v>534</v>
      </c>
    </row>
    <row r="5" customFormat="false" ht="18" hidden="false" customHeight="true" outlineLevel="0" collapsed="false">
      <c r="A5" s="95" t="str">
        <f aca="false">Assumptions!A42</f>
        <v>Base</v>
      </c>
      <c r="B5" s="95" t="str">
        <f aca="false">Catalog!A6</f>
        <v>Geocoding</v>
      </c>
      <c r="C5" s="63" t="n">
        <f aca="false">Assumptions!B42</f>
        <v>25000</v>
      </c>
      <c r="D5" s="64" t="n">
        <f aca="false">Assumptions!C42</f>
        <v>18</v>
      </c>
      <c r="E5" s="41" t="n">
        <f aca="false">Assumptions!D42</f>
        <v>0.92</v>
      </c>
      <c r="F5" s="64" t="n">
        <f aca="false">Assumptions!E42</f>
        <v>1</v>
      </c>
      <c r="G5" s="64" t="n">
        <f aca="false">Assumptions!F42</f>
        <v>1</v>
      </c>
      <c r="H5" s="41" t="n">
        <f aca="false">Assumptions!G42</f>
        <v>0</v>
      </c>
      <c r="I5" s="96" t="n">
        <f aca="false">E5*(Workflow!C8*Workflow!E8*(1+Workflow!F8*G5)*(1-MIN(1,MAX(0,Workflow!G8+IF(Catalog!H6="Yes",H5,0))))*Workflow!H8)+(1-E5)*(Workflow!D8*Workflow!E8*(1+Workflow!F8*G5)*(1-MIN(1,MAX(0,Workflow!G8+IF(Catalog!H6="Yes",H5,0))))*Workflow!H8)</f>
        <v>0.6695</v>
      </c>
      <c r="J5" s="90" t="n">
        <f aca="false">C5*D5*I5</f>
        <v>301275</v>
      </c>
      <c r="K5" s="90" t="n">
        <f aca="false">MAX(0,J5-Catalog!G6)</f>
        <v>291275</v>
      </c>
      <c r="L5" s="72" t="n">
        <f aca="false">K5*Catalog!E6*F5</f>
        <v>1165.1</v>
      </c>
      <c r="M5" s="72" t="n">
        <f aca="false">Catalog!F6</f>
        <v>0</v>
      </c>
      <c r="N5" s="60" t="n">
        <f aca="false">L5+M5</f>
        <v>1165.1</v>
      </c>
      <c r="O5" s="88" t="n">
        <f aca="false">MIN(1,MAX(0,Workflow!G8+IF(Catalog!H6="Yes",H5,0)))</f>
        <v>0.35</v>
      </c>
      <c r="P5" s="41" t="n">
        <f aca="false">Workflow!C8</f>
        <v>1</v>
      </c>
      <c r="Q5" s="41" t="n">
        <f aca="false">Workflow!D8</f>
        <v>1</v>
      </c>
      <c r="R5" s="97" t="n">
        <f aca="false">Catalog!E6*F5</f>
        <v>0.004</v>
      </c>
    </row>
    <row r="6" customFormat="false" ht="18" hidden="false" customHeight="true" outlineLevel="0" collapsed="false">
      <c r="A6" s="95" t="str">
        <f aca="false">Assumptions!A42</f>
        <v>Base</v>
      </c>
      <c r="B6" s="95" t="str">
        <f aca="false">Catalog!A7</f>
        <v>Risk / Verification</v>
      </c>
      <c r="C6" s="63" t="n">
        <f aca="false">Assumptions!B42</f>
        <v>25000</v>
      </c>
      <c r="D6" s="64" t="n">
        <f aca="false">Assumptions!C42</f>
        <v>18</v>
      </c>
      <c r="E6" s="41" t="n">
        <f aca="false">Assumptions!D42</f>
        <v>0.92</v>
      </c>
      <c r="F6" s="64" t="n">
        <f aca="false">Assumptions!E42</f>
        <v>1</v>
      </c>
      <c r="G6" s="64" t="n">
        <f aca="false">Assumptions!F42</f>
        <v>1</v>
      </c>
      <c r="H6" s="41" t="n">
        <f aca="false">Assumptions!G42</f>
        <v>0</v>
      </c>
      <c r="I6" s="96" t="n">
        <f aca="false">E6*(Workflow!C9*Workflow!E9*(1+Workflow!F9*G6)*(1-MIN(1,MAX(0,Workflow!G9+IF(Catalog!H7="Yes",H6,0))))*Workflow!H9)+(1-E6)*(Workflow!D9*Workflow!E9*(1+Workflow!F9*G6)*(1-MIN(1,MAX(0,Workflow!G9+IF(Catalog!H7="Yes",H6,0))))*Workflow!H9)</f>
        <v>0.399</v>
      </c>
      <c r="J6" s="90" t="n">
        <f aca="false">C6*D6*I6</f>
        <v>179550</v>
      </c>
      <c r="K6" s="90" t="n">
        <f aca="false">MAX(0,J6-Catalog!G7)</f>
        <v>179550</v>
      </c>
      <c r="L6" s="72" t="n">
        <f aca="false">K6*Catalog!E7*F6</f>
        <v>32319</v>
      </c>
      <c r="M6" s="72" t="n">
        <f aca="false">Catalog!F7</f>
        <v>500</v>
      </c>
      <c r="N6" s="60" t="n">
        <f aca="false">L6+M6</f>
        <v>32819</v>
      </c>
      <c r="O6" s="88" t="n">
        <f aca="false">MIN(1,MAX(0,Workflow!G9+IF(Catalog!H7="Yes",H6,0)))</f>
        <v>0</v>
      </c>
      <c r="P6" s="41" t="n">
        <f aca="false">Workflow!C9</f>
        <v>0.4</v>
      </c>
      <c r="Q6" s="41" t="n">
        <f aca="false">Workflow!D9</f>
        <v>0.15</v>
      </c>
      <c r="R6" s="97" t="n">
        <f aca="false">Catalog!E7*F6</f>
        <v>0.18</v>
      </c>
    </row>
    <row r="7" customFormat="false" ht="18" hidden="false" customHeight="true" outlineLevel="0" collapsed="false">
      <c r="A7" s="95" t="str">
        <f aca="false">Assumptions!A42</f>
        <v>Base</v>
      </c>
      <c r="B7" s="95" t="str">
        <f aca="false">Catalog!A8</f>
        <v>AI Model</v>
      </c>
      <c r="C7" s="63" t="n">
        <f aca="false">Assumptions!B42</f>
        <v>25000</v>
      </c>
      <c r="D7" s="64" t="n">
        <f aca="false">Assumptions!C42</f>
        <v>18</v>
      </c>
      <c r="E7" s="41" t="n">
        <f aca="false">Assumptions!D42</f>
        <v>0.92</v>
      </c>
      <c r="F7" s="64" t="n">
        <f aca="false">Assumptions!E42</f>
        <v>1</v>
      </c>
      <c r="G7" s="64" t="n">
        <f aca="false">Assumptions!F42</f>
        <v>1</v>
      </c>
      <c r="H7" s="41" t="n">
        <f aca="false">Assumptions!G42</f>
        <v>0</v>
      </c>
      <c r="I7" s="96" t="n">
        <f aca="false">E7*(Workflow!C10*Workflow!E10*(1+Workflow!F10*G7)*(1-MIN(1,MAX(0,Workflow!G10+IF(Catalog!H8="Yes",H7,0))))*Workflow!H10)+(1-E7)*(Workflow!D10*Workflow!E10*(1+Workflow!F10*G7)*(1-MIN(1,MAX(0,Workflow!G10+IF(Catalog!H8="Yes",H7,0))))*Workflow!H10)</f>
        <v>3.26592</v>
      </c>
      <c r="J7" s="90" t="n">
        <f aca="false">C7*D7*I7</f>
        <v>1469664</v>
      </c>
      <c r="K7" s="90" t="n">
        <f aca="false">MAX(0,J7-Catalog!G8)</f>
        <v>1469664</v>
      </c>
      <c r="L7" s="72" t="n">
        <f aca="false">K7*Catalog!E8*F7</f>
        <v>17635.968</v>
      </c>
      <c r="M7" s="72" t="n">
        <f aca="false">Catalog!F8</f>
        <v>0</v>
      </c>
      <c r="N7" s="60" t="n">
        <f aca="false">L7+M7</f>
        <v>17635.968</v>
      </c>
      <c r="O7" s="88" t="n">
        <f aca="false">MIN(1,MAX(0,Workflow!G10+IF(Catalog!H8="Yes",H7,0)))</f>
        <v>0</v>
      </c>
      <c r="P7" s="41" t="n">
        <f aca="false">Workflow!C10</f>
        <v>0.8</v>
      </c>
      <c r="Q7" s="41" t="n">
        <f aca="false">Workflow!D10</f>
        <v>0.25</v>
      </c>
      <c r="R7" s="97" t="n">
        <f aca="false">Catalog!E8*F7</f>
        <v>0.012</v>
      </c>
    </row>
    <row r="8" customFormat="false" ht="18" hidden="false" customHeight="true" outlineLevel="0" collapsed="false">
      <c r="A8" s="95" t="str">
        <f aca="false">Assumptions!A42</f>
        <v>Base</v>
      </c>
      <c r="B8" s="95" t="str">
        <f aca="false">Catalog!A9</f>
        <v>Notification</v>
      </c>
      <c r="C8" s="63" t="n">
        <f aca="false">Assumptions!B42</f>
        <v>25000</v>
      </c>
      <c r="D8" s="64" t="n">
        <f aca="false">Assumptions!C42</f>
        <v>18</v>
      </c>
      <c r="E8" s="41" t="n">
        <f aca="false">Assumptions!D42</f>
        <v>0.92</v>
      </c>
      <c r="F8" s="64" t="n">
        <f aca="false">Assumptions!E42</f>
        <v>1</v>
      </c>
      <c r="G8" s="64" t="n">
        <f aca="false">Assumptions!F42</f>
        <v>1</v>
      </c>
      <c r="H8" s="41" t="n">
        <f aca="false">Assumptions!G42</f>
        <v>0</v>
      </c>
      <c r="I8" s="96" t="n">
        <f aca="false">E8*(Workflow!C11*Workflow!E11*(1+Workflow!F11*G8)*(1-MIN(1,MAX(0,Workflow!G11+IF(Catalog!H9="Yes",H8,0))))*Workflow!H11)+(1-E8)*(Workflow!D11*Workflow!E11*(1+Workflow!F11*G8)*(1-MIN(1,MAX(0,Workflow!G11+IF(Catalog!H9="Yes",H8,0))))*Workflow!H11)</f>
        <v>0.84864</v>
      </c>
      <c r="J8" s="90" t="n">
        <f aca="false">C8*D8*I8</f>
        <v>381888</v>
      </c>
      <c r="K8" s="90" t="n">
        <f aca="false">MAX(0,J8-Catalog!G9)</f>
        <v>376888</v>
      </c>
      <c r="L8" s="72" t="n">
        <f aca="false">K8*Catalog!E9*F8</f>
        <v>3015.104</v>
      </c>
      <c r="M8" s="72" t="n">
        <f aca="false">Catalog!F9</f>
        <v>100</v>
      </c>
      <c r="N8" s="60" t="n">
        <f aca="false">L8+M8</f>
        <v>3115.104</v>
      </c>
      <c r="O8" s="88" t="n">
        <f aca="false">MIN(1,MAX(0,Workflow!G11+IF(Catalog!H9="Yes",H8,0)))</f>
        <v>0</v>
      </c>
      <c r="P8" s="41" t="n">
        <f aca="false">Workflow!C11</f>
        <v>0.9</v>
      </c>
      <c r="Q8" s="41" t="n">
        <f aca="false">Workflow!D11</f>
        <v>0.05</v>
      </c>
      <c r="R8" s="97" t="n">
        <f aca="false">Catalog!E9*F8</f>
        <v>0.008</v>
      </c>
    </row>
    <row r="9" customFormat="false" ht="18" hidden="false" customHeight="true" outlineLevel="0" collapsed="false">
      <c r="A9" s="95" t="str">
        <f aca="false">Assumptions!A43</f>
        <v>Growth</v>
      </c>
      <c r="B9" s="95" t="str">
        <f aca="false">Catalog!A6</f>
        <v>Geocoding</v>
      </c>
      <c r="C9" s="63" t="n">
        <f aca="false">Assumptions!B43</f>
        <v>75000</v>
      </c>
      <c r="D9" s="64" t="n">
        <f aca="false">Assumptions!C43</f>
        <v>20</v>
      </c>
      <c r="E9" s="41" t="n">
        <f aca="false">Assumptions!D43</f>
        <v>0.93</v>
      </c>
      <c r="F9" s="64" t="n">
        <f aca="false">Assumptions!E43</f>
        <v>0.95</v>
      </c>
      <c r="G9" s="64" t="n">
        <f aca="false">Assumptions!F43</f>
        <v>1</v>
      </c>
      <c r="H9" s="41" t="n">
        <f aca="false">Assumptions!G43</f>
        <v>0.05</v>
      </c>
      <c r="I9" s="96" t="n">
        <f aca="false">E9*(Workflow!C8*Workflow!E8*(1+Workflow!F8*G9)*(1-MIN(1,MAX(0,Workflow!G8+IF(Catalog!H6="Yes",H9,0))))*Workflow!H8)+(1-E9)*(Workflow!D8*Workflow!E8*(1+Workflow!F8*G9)*(1-MIN(1,MAX(0,Workflow!G8+IF(Catalog!H6="Yes",H9,0))))*Workflow!H8)</f>
        <v>0.618</v>
      </c>
      <c r="J9" s="90" t="n">
        <f aca="false">C9*D9*I9</f>
        <v>927000</v>
      </c>
      <c r="K9" s="90" t="n">
        <f aca="false">MAX(0,J9-Catalog!G6)</f>
        <v>917000</v>
      </c>
      <c r="L9" s="72" t="n">
        <f aca="false">K9*Catalog!E6*F9</f>
        <v>3484.6</v>
      </c>
      <c r="M9" s="72" t="n">
        <f aca="false">Catalog!F6</f>
        <v>0</v>
      </c>
      <c r="N9" s="60" t="n">
        <f aca="false">L9+M9</f>
        <v>3484.6</v>
      </c>
      <c r="O9" s="88" t="n">
        <f aca="false">MIN(1,MAX(0,Workflow!G8+IF(Catalog!H6="Yes",H9,0)))</f>
        <v>0.4</v>
      </c>
      <c r="P9" s="41" t="n">
        <f aca="false">Workflow!C8</f>
        <v>1</v>
      </c>
      <c r="Q9" s="41" t="n">
        <f aca="false">Workflow!D8</f>
        <v>1</v>
      </c>
      <c r="R9" s="97" t="n">
        <f aca="false">Catalog!E6*F9</f>
        <v>0.0038</v>
      </c>
    </row>
    <row r="10" customFormat="false" ht="18" hidden="false" customHeight="true" outlineLevel="0" collapsed="false">
      <c r="A10" s="95" t="str">
        <f aca="false">Assumptions!A43</f>
        <v>Growth</v>
      </c>
      <c r="B10" s="95" t="str">
        <f aca="false">Catalog!A7</f>
        <v>Risk / Verification</v>
      </c>
      <c r="C10" s="63" t="n">
        <f aca="false">Assumptions!B43</f>
        <v>75000</v>
      </c>
      <c r="D10" s="64" t="n">
        <f aca="false">Assumptions!C43</f>
        <v>20</v>
      </c>
      <c r="E10" s="41" t="n">
        <f aca="false">Assumptions!D43</f>
        <v>0.93</v>
      </c>
      <c r="F10" s="64" t="n">
        <f aca="false">Assumptions!E43</f>
        <v>0.95</v>
      </c>
      <c r="G10" s="64" t="n">
        <f aca="false">Assumptions!F43</f>
        <v>1</v>
      </c>
      <c r="H10" s="41" t="n">
        <f aca="false">Assumptions!G43</f>
        <v>0.05</v>
      </c>
      <c r="I10" s="96" t="n">
        <f aca="false">E10*(Workflow!C9*Workflow!E9*(1+Workflow!F9*G10)*(1-MIN(1,MAX(0,Workflow!G9+IF(Catalog!H7="Yes",H10,0))))*Workflow!H9)+(1-E10)*(Workflow!D9*Workflow!E9*(1+Workflow!F9*G10)*(1-MIN(1,MAX(0,Workflow!G9+IF(Catalog!H7="Yes",H10,0))))*Workflow!H9)</f>
        <v>0.401625</v>
      </c>
      <c r="J10" s="90" t="n">
        <f aca="false">C10*D10*I10</f>
        <v>602437.5</v>
      </c>
      <c r="K10" s="90" t="n">
        <f aca="false">MAX(0,J10-Catalog!G7)</f>
        <v>602437.5</v>
      </c>
      <c r="L10" s="72" t="n">
        <f aca="false">K10*Catalog!E7*F10</f>
        <v>103016.8125</v>
      </c>
      <c r="M10" s="72" t="n">
        <f aca="false">Catalog!F7</f>
        <v>500</v>
      </c>
      <c r="N10" s="60" t="n">
        <f aca="false">L10+M10</f>
        <v>103516.8125</v>
      </c>
      <c r="O10" s="88" t="n">
        <f aca="false">MIN(1,MAX(0,Workflow!G9+IF(Catalog!H7="Yes",H10,0)))</f>
        <v>0</v>
      </c>
      <c r="P10" s="41" t="n">
        <f aca="false">Workflow!C9</f>
        <v>0.4</v>
      </c>
      <c r="Q10" s="41" t="n">
        <f aca="false">Workflow!D9</f>
        <v>0.15</v>
      </c>
      <c r="R10" s="97" t="n">
        <f aca="false">Catalog!E7*F10</f>
        <v>0.171</v>
      </c>
    </row>
    <row r="11" customFormat="false" ht="18" hidden="false" customHeight="true" outlineLevel="0" collapsed="false">
      <c r="A11" s="95" t="str">
        <f aca="false">Assumptions!A43</f>
        <v>Growth</v>
      </c>
      <c r="B11" s="95" t="str">
        <f aca="false">Catalog!A8</f>
        <v>AI Model</v>
      </c>
      <c r="C11" s="63" t="n">
        <f aca="false">Assumptions!B43</f>
        <v>75000</v>
      </c>
      <c r="D11" s="64" t="n">
        <f aca="false">Assumptions!C43</f>
        <v>20</v>
      </c>
      <c r="E11" s="41" t="n">
        <f aca="false">Assumptions!D43</f>
        <v>0.93</v>
      </c>
      <c r="F11" s="64" t="n">
        <f aca="false">Assumptions!E43</f>
        <v>0.95</v>
      </c>
      <c r="G11" s="64" t="n">
        <f aca="false">Assumptions!F43</f>
        <v>1</v>
      </c>
      <c r="H11" s="41" t="n">
        <f aca="false">Assumptions!G43</f>
        <v>0.05</v>
      </c>
      <c r="I11" s="96" t="n">
        <f aca="false">E11*(Workflow!C10*Workflow!E10*(1+Workflow!F10*G11)*(1-MIN(1,MAX(0,Workflow!G10+IF(Catalog!H8="Yes",H11,0))))*Workflow!H10)+(1-E11)*(Workflow!D10*Workflow!E10*(1+Workflow!F10*G11)*(1-MIN(1,MAX(0,Workflow!G10+IF(Catalog!H8="Yes",H11,0))))*Workflow!H10)</f>
        <v>3.28968</v>
      </c>
      <c r="J11" s="90" t="n">
        <f aca="false">C11*D11*I11</f>
        <v>4934520</v>
      </c>
      <c r="K11" s="90" t="n">
        <f aca="false">MAX(0,J11-Catalog!G8)</f>
        <v>4934520</v>
      </c>
      <c r="L11" s="72" t="n">
        <f aca="false">K11*Catalog!E8*F11</f>
        <v>56253.528</v>
      </c>
      <c r="M11" s="72" t="n">
        <f aca="false">Catalog!F8</f>
        <v>0</v>
      </c>
      <c r="N11" s="60" t="n">
        <f aca="false">L11+M11</f>
        <v>56253.528</v>
      </c>
      <c r="O11" s="88" t="n">
        <f aca="false">MIN(1,MAX(0,Workflow!G10+IF(Catalog!H8="Yes",H11,0)))</f>
        <v>0</v>
      </c>
      <c r="P11" s="41" t="n">
        <f aca="false">Workflow!C10</f>
        <v>0.8</v>
      </c>
      <c r="Q11" s="41" t="n">
        <f aca="false">Workflow!D10</f>
        <v>0.25</v>
      </c>
      <c r="R11" s="97" t="n">
        <f aca="false">Catalog!E8*F11</f>
        <v>0.0114</v>
      </c>
    </row>
    <row r="12" customFormat="false" ht="18" hidden="false" customHeight="true" outlineLevel="0" collapsed="false">
      <c r="A12" s="95" t="str">
        <f aca="false">Assumptions!A43</f>
        <v>Growth</v>
      </c>
      <c r="B12" s="95" t="str">
        <f aca="false">Catalog!A9</f>
        <v>Notification</v>
      </c>
      <c r="C12" s="63" t="n">
        <f aca="false">Assumptions!B43</f>
        <v>75000</v>
      </c>
      <c r="D12" s="64" t="n">
        <f aca="false">Assumptions!C43</f>
        <v>20</v>
      </c>
      <c r="E12" s="41" t="n">
        <f aca="false">Assumptions!D43</f>
        <v>0.93</v>
      </c>
      <c r="F12" s="64" t="n">
        <f aca="false">Assumptions!E43</f>
        <v>0.95</v>
      </c>
      <c r="G12" s="64" t="n">
        <f aca="false">Assumptions!F43</f>
        <v>1</v>
      </c>
      <c r="H12" s="41" t="n">
        <f aca="false">Assumptions!G43</f>
        <v>0.05</v>
      </c>
      <c r="I12" s="96" t="n">
        <f aca="false">E12*(Workflow!C11*Workflow!E11*(1+Workflow!F11*G12)*(1-MIN(1,MAX(0,Workflow!G11+IF(Catalog!H9="Yes",H12,0))))*Workflow!H11)+(1-E12)*(Workflow!D11*Workflow!E11*(1+Workflow!F11*G12)*(1-MIN(1,MAX(0,Workflow!G11+IF(Catalog!H9="Yes",H12,0))))*Workflow!H11)</f>
        <v>0.85731</v>
      </c>
      <c r="J12" s="90" t="n">
        <f aca="false">C12*D12*I12</f>
        <v>1285965</v>
      </c>
      <c r="K12" s="90" t="n">
        <f aca="false">MAX(0,J12-Catalog!G9)</f>
        <v>1280965</v>
      </c>
      <c r="L12" s="72" t="n">
        <f aca="false">K12*Catalog!E9*F12</f>
        <v>9735.334</v>
      </c>
      <c r="M12" s="72" t="n">
        <f aca="false">Catalog!F9</f>
        <v>100</v>
      </c>
      <c r="N12" s="60" t="n">
        <f aca="false">L12+M12</f>
        <v>9835.334</v>
      </c>
      <c r="O12" s="88" t="n">
        <f aca="false">MIN(1,MAX(0,Workflow!G11+IF(Catalog!H9="Yes",H12,0)))</f>
        <v>0</v>
      </c>
      <c r="P12" s="41" t="n">
        <f aca="false">Workflow!C11</f>
        <v>0.9</v>
      </c>
      <c r="Q12" s="41" t="n">
        <f aca="false">Workflow!D11</f>
        <v>0.05</v>
      </c>
      <c r="R12" s="97" t="n">
        <f aca="false">Catalog!E9*F12</f>
        <v>0.0076</v>
      </c>
    </row>
    <row r="13" customFormat="false" ht="18" hidden="false" customHeight="true" outlineLevel="0" collapsed="false">
      <c r="A13" s="95" t="str">
        <f aca="false">Assumptions!A44</f>
        <v>Heavy-user tail</v>
      </c>
      <c r="B13" s="95" t="str">
        <f aca="false">Catalog!A6</f>
        <v>Geocoding</v>
      </c>
      <c r="C13" s="63" t="n">
        <f aca="false">Assumptions!B44</f>
        <v>25000</v>
      </c>
      <c r="D13" s="64" t="n">
        <f aca="false">Assumptions!C44</f>
        <v>32</v>
      </c>
      <c r="E13" s="41" t="n">
        <f aca="false">Assumptions!D44</f>
        <v>0.9</v>
      </c>
      <c r="F13" s="64" t="n">
        <f aca="false">Assumptions!E44</f>
        <v>1</v>
      </c>
      <c r="G13" s="64" t="n">
        <f aca="false">Assumptions!F44</f>
        <v>1.25</v>
      </c>
      <c r="H13" s="41" t="n">
        <f aca="false">Assumptions!G44</f>
        <v>-0.05</v>
      </c>
      <c r="I13" s="96" t="n">
        <f aca="false">E13*(Workflow!C8*Workflow!E8*(1+Workflow!F8*G13)*(1-MIN(1,MAX(0,Workflow!G8+IF(Catalog!H6="Yes",H13,0))))*Workflow!H8)+(1-E13)*(Workflow!D8*Workflow!E8*(1+Workflow!F8*G13)*(1-MIN(1,MAX(0,Workflow!G8+IF(Catalog!H6="Yes",H13,0))))*Workflow!H8)</f>
        <v>0.72625</v>
      </c>
      <c r="J13" s="90" t="n">
        <f aca="false">C13*D13*I13</f>
        <v>581000</v>
      </c>
      <c r="K13" s="90" t="n">
        <f aca="false">MAX(0,J13-Catalog!G6)</f>
        <v>571000</v>
      </c>
      <c r="L13" s="72" t="n">
        <f aca="false">K13*Catalog!E6*F13</f>
        <v>2284</v>
      </c>
      <c r="M13" s="72" t="n">
        <f aca="false">Catalog!F6</f>
        <v>0</v>
      </c>
      <c r="N13" s="60" t="n">
        <f aca="false">L13+M13</f>
        <v>2284</v>
      </c>
      <c r="O13" s="88" t="n">
        <f aca="false">MIN(1,MAX(0,Workflow!G8+IF(Catalog!H6="Yes",H13,0)))</f>
        <v>0.3</v>
      </c>
      <c r="P13" s="41" t="n">
        <f aca="false">Workflow!C8</f>
        <v>1</v>
      </c>
      <c r="Q13" s="41" t="n">
        <f aca="false">Workflow!D8</f>
        <v>1</v>
      </c>
      <c r="R13" s="97" t="n">
        <f aca="false">Catalog!E6*F13</f>
        <v>0.004</v>
      </c>
    </row>
    <row r="14" customFormat="false" ht="18" hidden="false" customHeight="true" outlineLevel="0" collapsed="false">
      <c r="A14" s="95" t="str">
        <f aca="false">Assumptions!A44</f>
        <v>Heavy-user tail</v>
      </c>
      <c r="B14" s="95" t="str">
        <f aca="false">Catalog!A7</f>
        <v>Risk / Verification</v>
      </c>
      <c r="C14" s="63" t="n">
        <f aca="false">Assumptions!B44</f>
        <v>25000</v>
      </c>
      <c r="D14" s="64" t="n">
        <f aca="false">Assumptions!C44</f>
        <v>32</v>
      </c>
      <c r="E14" s="41" t="n">
        <f aca="false">Assumptions!D44</f>
        <v>0.9</v>
      </c>
      <c r="F14" s="64" t="n">
        <f aca="false">Assumptions!E44</f>
        <v>1</v>
      </c>
      <c r="G14" s="64" t="n">
        <f aca="false">Assumptions!F44</f>
        <v>1.25</v>
      </c>
      <c r="H14" s="41" t="n">
        <f aca="false">Assumptions!G44</f>
        <v>-0.05</v>
      </c>
      <c r="I14" s="96" t="n">
        <f aca="false">E14*(Workflow!C9*Workflow!E9*(1+Workflow!F9*G14)*(1-MIN(1,MAX(0,Workflow!G9+IF(Catalog!H7="Yes",H14,0))))*Workflow!H9)+(1-E14)*(Workflow!D9*Workflow!E9*(1+Workflow!F9*G14)*(1-MIN(1,MAX(0,Workflow!G9+IF(Catalog!H7="Yes",H14,0))))*Workflow!H9)</f>
        <v>0.3984375</v>
      </c>
      <c r="J14" s="90" t="n">
        <f aca="false">C14*D14*I14</f>
        <v>318750</v>
      </c>
      <c r="K14" s="90" t="n">
        <f aca="false">MAX(0,J14-Catalog!G7)</f>
        <v>318750</v>
      </c>
      <c r="L14" s="72" t="n">
        <f aca="false">K14*Catalog!E7*F14</f>
        <v>57375</v>
      </c>
      <c r="M14" s="72" t="n">
        <f aca="false">Catalog!F7</f>
        <v>500</v>
      </c>
      <c r="N14" s="60" t="n">
        <f aca="false">L14+M14</f>
        <v>57875</v>
      </c>
      <c r="O14" s="88" t="n">
        <f aca="false">MIN(1,MAX(0,Workflow!G9+IF(Catalog!H7="Yes",H14,0)))</f>
        <v>0</v>
      </c>
      <c r="P14" s="41" t="n">
        <f aca="false">Workflow!C9</f>
        <v>0.4</v>
      </c>
      <c r="Q14" s="41" t="n">
        <f aca="false">Workflow!D9</f>
        <v>0.15</v>
      </c>
      <c r="R14" s="97" t="n">
        <f aca="false">Catalog!E7*F14</f>
        <v>0.18</v>
      </c>
    </row>
    <row r="15" customFormat="false" ht="18" hidden="false" customHeight="true" outlineLevel="0" collapsed="false">
      <c r="A15" s="95" t="str">
        <f aca="false">Assumptions!A44</f>
        <v>Heavy-user tail</v>
      </c>
      <c r="B15" s="95" t="str">
        <f aca="false">Catalog!A8</f>
        <v>AI Model</v>
      </c>
      <c r="C15" s="63" t="n">
        <f aca="false">Assumptions!B44</f>
        <v>25000</v>
      </c>
      <c r="D15" s="64" t="n">
        <f aca="false">Assumptions!C44</f>
        <v>32</v>
      </c>
      <c r="E15" s="41" t="n">
        <f aca="false">Assumptions!D44</f>
        <v>0.9</v>
      </c>
      <c r="F15" s="64" t="n">
        <f aca="false">Assumptions!E44</f>
        <v>1</v>
      </c>
      <c r="G15" s="64" t="n">
        <f aca="false">Assumptions!F44</f>
        <v>1.25</v>
      </c>
      <c r="H15" s="41" t="n">
        <f aca="false">Assumptions!G44</f>
        <v>-0.05</v>
      </c>
      <c r="I15" s="96" t="n">
        <f aca="false">E15*(Workflow!C10*Workflow!E10*(1+Workflow!F10*G15)*(1-MIN(1,MAX(0,Workflow!G10+IF(Catalog!H8="Yes",H15,0))))*Workflow!H10)+(1-E15)*(Workflow!D10*Workflow!E10*(1+Workflow!F10*G15)*(1-MIN(1,MAX(0,Workflow!G10+IF(Catalog!H8="Yes",H15,0))))*Workflow!H10)</f>
        <v>3.278</v>
      </c>
      <c r="J15" s="90" t="n">
        <f aca="false">C15*D15*I15</f>
        <v>2622400</v>
      </c>
      <c r="K15" s="90" t="n">
        <f aca="false">MAX(0,J15-Catalog!G8)</f>
        <v>2622400</v>
      </c>
      <c r="L15" s="72" t="n">
        <f aca="false">K15*Catalog!E8*F15</f>
        <v>31468.8</v>
      </c>
      <c r="M15" s="72" t="n">
        <f aca="false">Catalog!F8</f>
        <v>0</v>
      </c>
      <c r="N15" s="60" t="n">
        <f aca="false">L15+M15</f>
        <v>31468.8</v>
      </c>
      <c r="O15" s="88" t="n">
        <f aca="false">MIN(1,MAX(0,Workflow!G10+IF(Catalog!H8="Yes",H15,0)))</f>
        <v>0</v>
      </c>
      <c r="P15" s="41" t="n">
        <f aca="false">Workflow!C10</f>
        <v>0.8</v>
      </c>
      <c r="Q15" s="41" t="n">
        <f aca="false">Workflow!D10</f>
        <v>0.25</v>
      </c>
      <c r="R15" s="97" t="n">
        <f aca="false">Catalog!E8*F15</f>
        <v>0.012</v>
      </c>
    </row>
    <row r="16" customFormat="false" ht="18" hidden="false" customHeight="true" outlineLevel="0" collapsed="false">
      <c r="A16" s="95" t="str">
        <f aca="false">Assumptions!A44</f>
        <v>Heavy-user tail</v>
      </c>
      <c r="B16" s="95" t="str">
        <f aca="false">Catalog!A9</f>
        <v>Notification</v>
      </c>
      <c r="C16" s="63" t="n">
        <f aca="false">Assumptions!B44</f>
        <v>25000</v>
      </c>
      <c r="D16" s="64" t="n">
        <f aca="false">Assumptions!C44</f>
        <v>32</v>
      </c>
      <c r="E16" s="41" t="n">
        <f aca="false">Assumptions!D44</f>
        <v>0.9</v>
      </c>
      <c r="F16" s="64" t="n">
        <f aca="false">Assumptions!E44</f>
        <v>1</v>
      </c>
      <c r="G16" s="64" t="n">
        <f aca="false">Assumptions!F44</f>
        <v>1.25</v>
      </c>
      <c r="H16" s="41" t="n">
        <f aca="false">Assumptions!G44</f>
        <v>-0.05</v>
      </c>
      <c r="I16" s="96" t="n">
        <f aca="false">E16*(Workflow!C11*Workflow!E11*(1+Workflow!F11*G16)*(1-MIN(1,MAX(0,Workflow!G11+IF(Catalog!H9="Yes",H16,0))))*Workflow!H11)+(1-E16)*(Workflow!D11*Workflow!E11*(1+Workflow!F11*G16)*(1-MIN(1,MAX(0,Workflow!G11+IF(Catalog!H9="Yes",H16,0))))*Workflow!H11)</f>
        <v>0.835375</v>
      </c>
      <c r="J16" s="90" t="n">
        <f aca="false">C16*D16*I16</f>
        <v>668300</v>
      </c>
      <c r="K16" s="90" t="n">
        <f aca="false">MAX(0,J16-Catalog!G9)</f>
        <v>663300</v>
      </c>
      <c r="L16" s="72" t="n">
        <f aca="false">K16*Catalog!E9*F16</f>
        <v>5306.4</v>
      </c>
      <c r="M16" s="72" t="n">
        <f aca="false">Catalog!F9</f>
        <v>100</v>
      </c>
      <c r="N16" s="60" t="n">
        <f aca="false">L16+M16</f>
        <v>5406.4</v>
      </c>
      <c r="O16" s="88" t="n">
        <f aca="false">MIN(1,MAX(0,Workflow!G11+IF(Catalog!H9="Yes",H16,0)))</f>
        <v>0</v>
      </c>
      <c r="P16" s="41" t="n">
        <f aca="false">Workflow!C11</f>
        <v>0.9</v>
      </c>
      <c r="Q16" s="41" t="n">
        <f aca="false">Workflow!D11</f>
        <v>0.05</v>
      </c>
      <c r="R16" s="97" t="n">
        <f aca="false">Catalog!E9*F16</f>
        <v>0.008</v>
      </c>
    </row>
    <row r="17" customFormat="false" ht="18" hidden="false" customHeight="true" outlineLevel="0" collapsed="false">
      <c r="A17" s="95" t="str">
        <f aca="false">Assumptions!A45</f>
        <v>Vendor +25%</v>
      </c>
      <c r="B17" s="95" t="str">
        <f aca="false">Catalog!A6</f>
        <v>Geocoding</v>
      </c>
      <c r="C17" s="63" t="n">
        <f aca="false">Assumptions!B45</f>
        <v>25000</v>
      </c>
      <c r="D17" s="64" t="n">
        <f aca="false">Assumptions!C45</f>
        <v>18</v>
      </c>
      <c r="E17" s="41" t="n">
        <f aca="false">Assumptions!D45</f>
        <v>0.92</v>
      </c>
      <c r="F17" s="64" t="n">
        <f aca="false">Assumptions!E45</f>
        <v>1.25</v>
      </c>
      <c r="G17" s="64" t="n">
        <f aca="false">Assumptions!F45</f>
        <v>1</v>
      </c>
      <c r="H17" s="41" t="n">
        <f aca="false">Assumptions!G45</f>
        <v>0</v>
      </c>
      <c r="I17" s="96" t="n">
        <f aca="false">E17*(Workflow!C8*Workflow!E8*(1+Workflow!F8*G17)*(1-MIN(1,MAX(0,Workflow!G8+IF(Catalog!H6="Yes",H17,0))))*Workflow!H8)+(1-E17)*(Workflow!D8*Workflow!E8*(1+Workflow!F8*G17)*(1-MIN(1,MAX(0,Workflow!G8+IF(Catalog!H6="Yes",H17,0))))*Workflow!H8)</f>
        <v>0.6695</v>
      </c>
      <c r="J17" s="90" t="n">
        <f aca="false">C17*D17*I17</f>
        <v>301275</v>
      </c>
      <c r="K17" s="90" t="n">
        <f aca="false">MAX(0,J17-Catalog!G6)</f>
        <v>291275</v>
      </c>
      <c r="L17" s="72" t="n">
        <f aca="false">K17*Catalog!E6*F17</f>
        <v>1456.375</v>
      </c>
      <c r="M17" s="72" t="n">
        <f aca="false">Catalog!F6</f>
        <v>0</v>
      </c>
      <c r="N17" s="60" t="n">
        <f aca="false">L17+M17</f>
        <v>1456.375</v>
      </c>
      <c r="O17" s="88" t="n">
        <f aca="false">MIN(1,MAX(0,Workflow!G8+IF(Catalog!H6="Yes",H17,0)))</f>
        <v>0.35</v>
      </c>
      <c r="P17" s="41" t="n">
        <f aca="false">Workflow!C8</f>
        <v>1</v>
      </c>
      <c r="Q17" s="41" t="n">
        <f aca="false">Workflow!D8</f>
        <v>1</v>
      </c>
      <c r="R17" s="97" t="n">
        <f aca="false">Catalog!E6*F17</f>
        <v>0.005</v>
      </c>
    </row>
    <row r="18" customFormat="false" ht="18" hidden="false" customHeight="true" outlineLevel="0" collapsed="false">
      <c r="A18" s="95" t="str">
        <f aca="false">Assumptions!A45</f>
        <v>Vendor +25%</v>
      </c>
      <c r="B18" s="95" t="str">
        <f aca="false">Catalog!A7</f>
        <v>Risk / Verification</v>
      </c>
      <c r="C18" s="63" t="n">
        <f aca="false">Assumptions!B45</f>
        <v>25000</v>
      </c>
      <c r="D18" s="64" t="n">
        <f aca="false">Assumptions!C45</f>
        <v>18</v>
      </c>
      <c r="E18" s="41" t="n">
        <f aca="false">Assumptions!D45</f>
        <v>0.92</v>
      </c>
      <c r="F18" s="64" t="n">
        <f aca="false">Assumptions!E45</f>
        <v>1.25</v>
      </c>
      <c r="G18" s="64" t="n">
        <f aca="false">Assumptions!F45</f>
        <v>1</v>
      </c>
      <c r="H18" s="41" t="n">
        <f aca="false">Assumptions!G45</f>
        <v>0</v>
      </c>
      <c r="I18" s="96" t="n">
        <f aca="false">E18*(Workflow!C9*Workflow!E9*(1+Workflow!F9*G18)*(1-MIN(1,MAX(0,Workflow!G9+IF(Catalog!H7="Yes",H18,0))))*Workflow!H9)+(1-E18)*(Workflow!D9*Workflow!E9*(1+Workflow!F9*G18)*(1-MIN(1,MAX(0,Workflow!G9+IF(Catalog!H7="Yes",H18,0))))*Workflow!H9)</f>
        <v>0.399</v>
      </c>
      <c r="J18" s="90" t="n">
        <f aca="false">C18*D18*I18</f>
        <v>179550</v>
      </c>
      <c r="K18" s="90" t="n">
        <f aca="false">MAX(0,J18-Catalog!G7)</f>
        <v>179550</v>
      </c>
      <c r="L18" s="72" t="n">
        <f aca="false">K18*Catalog!E7*F18</f>
        <v>40398.75</v>
      </c>
      <c r="M18" s="72" t="n">
        <f aca="false">Catalog!F7</f>
        <v>500</v>
      </c>
      <c r="N18" s="60" t="n">
        <f aca="false">L18+M18</f>
        <v>40898.75</v>
      </c>
      <c r="O18" s="88" t="n">
        <f aca="false">MIN(1,MAX(0,Workflow!G9+IF(Catalog!H7="Yes",H18,0)))</f>
        <v>0</v>
      </c>
      <c r="P18" s="41" t="n">
        <f aca="false">Workflow!C9</f>
        <v>0.4</v>
      </c>
      <c r="Q18" s="41" t="n">
        <f aca="false">Workflow!D9</f>
        <v>0.15</v>
      </c>
      <c r="R18" s="97" t="n">
        <f aca="false">Catalog!E7*F18</f>
        <v>0.225</v>
      </c>
    </row>
    <row r="19" customFormat="false" ht="18" hidden="false" customHeight="true" outlineLevel="0" collapsed="false">
      <c r="A19" s="95" t="str">
        <f aca="false">Assumptions!A45</f>
        <v>Vendor +25%</v>
      </c>
      <c r="B19" s="95" t="str">
        <f aca="false">Catalog!A8</f>
        <v>AI Model</v>
      </c>
      <c r="C19" s="63" t="n">
        <f aca="false">Assumptions!B45</f>
        <v>25000</v>
      </c>
      <c r="D19" s="64" t="n">
        <f aca="false">Assumptions!C45</f>
        <v>18</v>
      </c>
      <c r="E19" s="41" t="n">
        <f aca="false">Assumptions!D45</f>
        <v>0.92</v>
      </c>
      <c r="F19" s="64" t="n">
        <f aca="false">Assumptions!E45</f>
        <v>1.25</v>
      </c>
      <c r="G19" s="64" t="n">
        <f aca="false">Assumptions!F45</f>
        <v>1</v>
      </c>
      <c r="H19" s="41" t="n">
        <f aca="false">Assumptions!G45</f>
        <v>0</v>
      </c>
      <c r="I19" s="96" t="n">
        <f aca="false">E19*(Workflow!C10*Workflow!E10*(1+Workflow!F10*G19)*(1-MIN(1,MAX(0,Workflow!G10+IF(Catalog!H8="Yes",H19,0))))*Workflow!H10)+(1-E19)*(Workflow!D10*Workflow!E10*(1+Workflow!F10*G19)*(1-MIN(1,MAX(0,Workflow!G10+IF(Catalog!H8="Yes",H19,0))))*Workflow!H10)</f>
        <v>3.26592</v>
      </c>
      <c r="J19" s="90" t="n">
        <f aca="false">C19*D19*I19</f>
        <v>1469664</v>
      </c>
      <c r="K19" s="90" t="n">
        <f aca="false">MAX(0,J19-Catalog!G8)</f>
        <v>1469664</v>
      </c>
      <c r="L19" s="72" t="n">
        <f aca="false">K19*Catalog!E8*F19</f>
        <v>22044.96</v>
      </c>
      <c r="M19" s="72" t="n">
        <f aca="false">Catalog!F8</f>
        <v>0</v>
      </c>
      <c r="N19" s="60" t="n">
        <f aca="false">L19+M19</f>
        <v>22044.96</v>
      </c>
      <c r="O19" s="88" t="n">
        <f aca="false">MIN(1,MAX(0,Workflow!G10+IF(Catalog!H8="Yes",H19,0)))</f>
        <v>0</v>
      </c>
      <c r="P19" s="41" t="n">
        <f aca="false">Workflow!C10</f>
        <v>0.8</v>
      </c>
      <c r="Q19" s="41" t="n">
        <f aca="false">Workflow!D10</f>
        <v>0.25</v>
      </c>
      <c r="R19" s="97" t="n">
        <f aca="false">Catalog!E8*F19</f>
        <v>0.015</v>
      </c>
    </row>
    <row r="20" customFormat="false" ht="18" hidden="false" customHeight="true" outlineLevel="0" collapsed="false">
      <c r="A20" s="95" t="str">
        <f aca="false">Assumptions!A45</f>
        <v>Vendor +25%</v>
      </c>
      <c r="B20" s="95" t="str">
        <f aca="false">Catalog!A9</f>
        <v>Notification</v>
      </c>
      <c r="C20" s="63" t="n">
        <f aca="false">Assumptions!B45</f>
        <v>25000</v>
      </c>
      <c r="D20" s="64" t="n">
        <f aca="false">Assumptions!C45</f>
        <v>18</v>
      </c>
      <c r="E20" s="41" t="n">
        <f aca="false">Assumptions!D45</f>
        <v>0.92</v>
      </c>
      <c r="F20" s="64" t="n">
        <f aca="false">Assumptions!E45</f>
        <v>1.25</v>
      </c>
      <c r="G20" s="64" t="n">
        <f aca="false">Assumptions!F45</f>
        <v>1</v>
      </c>
      <c r="H20" s="41" t="n">
        <f aca="false">Assumptions!G45</f>
        <v>0</v>
      </c>
      <c r="I20" s="96" t="n">
        <f aca="false">E20*(Workflow!C11*Workflow!E11*(1+Workflow!F11*G20)*(1-MIN(1,MAX(0,Workflow!G11+IF(Catalog!H9="Yes",H20,0))))*Workflow!H11)+(1-E20)*(Workflow!D11*Workflow!E11*(1+Workflow!F11*G20)*(1-MIN(1,MAX(0,Workflow!G11+IF(Catalog!H9="Yes",H20,0))))*Workflow!H11)</f>
        <v>0.84864</v>
      </c>
      <c r="J20" s="90" t="n">
        <f aca="false">C20*D20*I20</f>
        <v>381888</v>
      </c>
      <c r="K20" s="90" t="n">
        <f aca="false">MAX(0,J20-Catalog!G9)</f>
        <v>376888</v>
      </c>
      <c r="L20" s="72" t="n">
        <f aca="false">K20*Catalog!E9*F20</f>
        <v>3768.88</v>
      </c>
      <c r="M20" s="72" t="n">
        <f aca="false">Catalog!F9</f>
        <v>100</v>
      </c>
      <c r="N20" s="60" t="n">
        <f aca="false">L20+M20</f>
        <v>3868.88</v>
      </c>
      <c r="O20" s="88" t="n">
        <f aca="false">MIN(1,MAX(0,Workflow!G11+IF(Catalog!H9="Yes",H20,0)))</f>
        <v>0</v>
      </c>
      <c r="P20" s="41" t="n">
        <f aca="false">Workflow!C11</f>
        <v>0.9</v>
      </c>
      <c r="Q20" s="41" t="n">
        <f aca="false">Workflow!D11</f>
        <v>0.05</v>
      </c>
      <c r="R20" s="97" t="n">
        <f aca="false">Catalog!E9*F20</f>
        <v>0.01</v>
      </c>
    </row>
    <row r="21" customFormat="false" ht="18" hidden="false" customHeight="true" outlineLevel="0" collapsed="false">
      <c r="A21" s="95" t="str">
        <f aca="false">Assumptions!A46</f>
        <v>Efficiency</v>
      </c>
      <c r="B21" s="95" t="str">
        <f aca="false">Catalog!A6</f>
        <v>Geocoding</v>
      </c>
      <c r="C21" s="63" t="n">
        <f aca="false">Assumptions!B46</f>
        <v>25000</v>
      </c>
      <c r="D21" s="64" t="n">
        <f aca="false">Assumptions!C46</f>
        <v>18</v>
      </c>
      <c r="E21" s="41" t="n">
        <f aca="false">Assumptions!D46</f>
        <v>0.95</v>
      </c>
      <c r="F21" s="64" t="n">
        <f aca="false">Assumptions!E46</f>
        <v>0.95</v>
      </c>
      <c r="G21" s="64" t="n">
        <f aca="false">Assumptions!F46</f>
        <v>0.75</v>
      </c>
      <c r="H21" s="41" t="n">
        <f aca="false">Assumptions!G46</f>
        <v>0.15</v>
      </c>
      <c r="I21" s="96" t="n">
        <f aca="false">E21*(Workflow!C8*Workflow!E8*(1+Workflow!F8*G21)*(1-MIN(1,MAX(0,Workflow!G8+IF(Catalog!H6="Yes",H21,0))))*Workflow!H8)+(1-E21)*(Workflow!D8*Workflow!E8*(1+Workflow!F8*G21)*(1-MIN(1,MAX(0,Workflow!G8+IF(Catalog!H6="Yes",H21,0))))*Workflow!H8)</f>
        <v>0.51125</v>
      </c>
      <c r="J21" s="90" t="n">
        <f aca="false">C21*D21*I21</f>
        <v>230062.5</v>
      </c>
      <c r="K21" s="90" t="n">
        <f aca="false">MAX(0,J21-Catalog!G6)</f>
        <v>220062.5</v>
      </c>
      <c r="L21" s="72" t="n">
        <f aca="false">K21*Catalog!E6*F21</f>
        <v>836.2375</v>
      </c>
      <c r="M21" s="72" t="n">
        <f aca="false">Catalog!F6</f>
        <v>0</v>
      </c>
      <c r="N21" s="60" t="n">
        <f aca="false">L21+M21</f>
        <v>836.2375</v>
      </c>
      <c r="O21" s="88" t="n">
        <f aca="false">MIN(1,MAX(0,Workflow!G8+IF(Catalog!H6="Yes",H21,0)))</f>
        <v>0.5</v>
      </c>
      <c r="P21" s="41" t="n">
        <f aca="false">Workflow!C8</f>
        <v>1</v>
      </c>
      <c r="Q21" s="41" t="n">
        <f aca="false">Workflow!D8</f>
        <v>1</v>
      </c>
      <c r="R21" s="97" t="n">
        <f aca="false">Catalog!E6*F21</f>
        <v>0.0038</v>
      </c>
    </row>
    <row r="22" customFormat="false" ht="18" hidden="false" customHeight="true" outlineLevel="0" collapsed="false">
      <c r="A22" s="95" t="str">
        <f aca="false">Assumptions!A46</f>
        <v>Efficiency</v>
      </c>
      <c r="B22" s="95" t="str">
        <f aca="false">Catalog!A7</f>
        <v>Risk / Verification</v>
      </c>
      <c r="C22" s="63" t="n">
        <f aca="false">Assumptions!B46</f>
        <v>25000</v>
      </c>
      <c r="D22" s="64" t="n">
        <f aca="false">Assumptions!C46</f>
        <v>18</v>
      </c>
      <c r="E22" s="41" t="n">
        <f aca="false">Assumptions!D46</f>
        <v>0.95</v>
      </c>
      <c r="F22" s="64" t="n">
        <f aca="false">Assumptions!E46</f>
        <v>0.95</v>
      </c>
      <c r="G22" s="64" t="n">
        <f aca="false">Assumptions!F46</f>
        <v>0.75</v>
      </c>
      <c r="H22" s="41" t="n">
        <f aca="false">Assumptions!G46</f>
        <v>0.15</v>
      </c>
      <c r="I22" s="96" t="n">
        <f aca="false">E22*(Workflow!C9*Workflow!E9*(1+Workflow!F9*G22)*(1-MIN(1,MAX(0,Workflow!G9+IF(Catalog!H7="Yes",H22,0))))*Workflow!H9)+(1-E22)*(Workflow!D9*Workflow!E9*(1+Workflow!F9*G22)*(1-MIN(1,MAX(0,Workflow!G9+IF(Catalog!H7="Yes",H22,0))))*Workflow!H9)</f>
        <v>0.40203125</v>
      </c>
      <c r="J22" s="90" t="n">
        <f aca="false">C22*D22*I22</f>
        <v>180914.0625</v>
      </c>
      <c r="K22" s="90" t="n">
        <f aca="false">MAX(0,J22-Catalog!G7)</f>
        <v>180914.0625</v>
      </c>
      <c r="L22" s="72" t="n">
        <f aca="false">K22*Catalog!E7*F22</f>
        <v>30936.3046875</v>
      </c>
      <c r="M22" s="72" t="n">
        <f aca="false">Catalog!F7</f>
        <v>500</v>
      </c>
      <c r="N22" s="60" t="n">
        <f aca="false">L22+M22</f>
        <v>31436.3046875</v>
      </c>
      <c r="O22" s="88" t="n">
        <f aca="false">MIN(1,MAX(0,Workflow!G9+IF(Catalog!H7="Yes",H22,0)))</f>
        <v>0</v>
      </c>
      <c r="P22" s="41" t="n">
        <f aca="false">Workflow!C9</f>
        <v>0.4</v>
      </c>
      <c r="Q22" s="41" t="n">
        <f aca="false">Workflow!D9</f>
        <v>0.15</v>
      </c>
      <c r="R22" s="97" t="n">
        <f aca="false">Catalog!E7*F22</f>
        <v>0.171</v>
      </c>
    </row>
    <row r="23" customFormat="false" ht="18" hidden="false" customHeight="true" outlineLevel="0" collapsed="false">
      <c r="A23" s="95" t="str">
        <f aca="false">Assumptions!A46</f>
        <v>Efficiency</v>
      </c>
      <c r="B23" s="95" t="str">
        <f aca="false">Catalog!A8</f>
        <v>AI Model</v>
      </c>
      <c r="C23" s="63" t="n">
        <f aca="false">Assumptions!B46</f>
        <v>25000</v>
      </c>
      <c r="D23" s="64" t="n">
        <f aca="false">Assumptions!C46</f>
        <v>18</v>
      </c>
      <c r="E23" s="41" t="n">
        <f aca="false">Assumptions!D46</f>
        <v>0.95</v>
      </c>
      <c r="F23" s="64" t="n">
        <f aca="false">Assumptions!E46</f>
        <v>0.95</v>
      </c>
      <c r="G23" s="64" t="n">
        <f aca="false">Assumptions!F46</f>
        <v>0.75</v>
      </c>
      <c r="H23" s="41" t="n">
        <f aca="false">Assumptions!G46</f>
        <v>0.15</v>
      </c>
      <c r="I23" s="96" t="n">
        <f aca="false">E23*(Workflow!C10*Workflow!E10*(1+Workflow!F10*G23)*(1-MIN(1,MAX(0,Workflow!G10+IF(Catalog!H8="Yes",H23,0))))*Workflow!H10)+(1-E23)*(Workflow!D10*Workflow!E10*(1+Workflow!F10*G23)*(1-MIN(1,MAX(0,Workflow!G10+IF(Catalog!H8="Yes",H23,0))))*Workflow!H10)</f>
        <v>3.2754</v>
      </c>
      <c r="J23" s="90" t="n">
        <f aca="false">C23*D23*I23</f>
        <v>1473930</v>
      </c>
      <c r="K23" s="90" t="n">
        <f aca="false">MAX(0,J23-Catalog!G8)</f>
        <v>1473930</v>
      </c>
      <c r="L23" s="72" t="n">
        <f aca="false">K23*Catalog!E8*F23</f>
        <v>16802.802</v>
      </c>
      <c r="M23" s="72" t="n">
        <f aca="false">Catalog!F8</f>
        <v>0</v>
      </c>
      <c r="N23" s="60" t="n">
        <f aca="false">L23+M23</f>
        <v>16802.802</v>
      </c>
      <c r="O23" s="88" t="n">
        <f aca="false">MIN(1,MAX(0,Workflow!G10+IF(Catalog!H8="Yes",H23,0)))</f>
        <v>0</v>
      </c>
      <c r="P23" s="41" t="n">
        <f aca="false">Workflow!C10</f>
        <v>0.8</v>
      </c>
      <c r="Q23" s="41" t="n">
        <f aca="false">Workflow!D10</f>
        <v>0.25</v>
      </c>
      <c r="R23" s="97" t="n">
        <f aca="false">Catalog!E8*F23</f>
        <v>0.0114</v>
      </c>
    </row>
    <row r="24" customFormat="false" ht="18" hidden="false" customHeight="true" outlineLevel="0" collapsed="false">
      <c r="A24" s="95" t="str">
        <f aca="false">Assumptions!A46</f>
        <v>Efficiency</v>
      </c>
      <c r="B24" s="95" t="str">
        <f aca="false">Catalog!A9</f>
        <v>Notification</v>
      </c>
      <c r="C24" s="63" t="n">
        <f aca="false">Assumptions!B46</f>
        <v>25000</v>
      </c>
      <c r="D24" s="64" t="n">
        <f aca="false">Assumptions!C46</f>
        <v>18</v>
      </c>
      <c r="E24" s="41" t="n">
        <f aca="false">Assumptions!D46</f>
        <v>0.95</v>
      </c>
      <c r="F24" s="64" t="n">
        <f aca="false">Assumptions!E46</f>
        <v>0.95</v>
      </c>
      <c r="G24" s="64" t="n">
        <f aca="false">Assumptions!F46</f>
        <v>0.75</v>
      </c>
      <c r="H24" s="41" t="n">
        <f aca="false">Assumptions!G46</f>
        <v>0.15</v>
      </c>
      <c r="I24" s="96" t="n">
        <f aca="false">E24*(Workflow!C11*Workflow!E11*(1+Workflow!F11*G24)*(1-MIN(1,MAX(0,Workflow!G11+IF(Catalog!H9="Yes",H24,0))))*Workflow!H11)+(1-E24)*(Workflow!D11*Workflow!E11*(1+Workflow!F11*G24)*(1-MIN(1,MAX(0,Workflow!G11+IF(Catalog!H9="Yes",H24,0))))*Workflow!H11)</f>
        <v>0.8703625</v>
      </c>
      <c r="J24" s="90" t="n">
        <f aca="false">C24*D24*I24</f>
        <v>391663.125</v>
      </c>
      <c r="K24" s="90" t="n">
        <f aca="false">MAX(0,J24-Catalog!G9)</f>
        <v>386663.125</v>
      </c>
      <c r="L24" s="72" t="n">
        <f aca="false">K24*Catalog!E9*F24</f>
        <v>2938.63975</v>
      </c>
      <c r="M24" s="72" t="n">
        <f aca="false">Catalog!F9</f>
        <v>100</v>
      </c>
      <c r="N24" s="60" t="n">
        <f aca="false">L24+M24</f>
        <v>3038.63975</v>
      </c>
      <c r="O24" s="88" t="n">
        <f aca="false">MIN(1,MAX(0,Workflow!G11+IF(Catalog!H9="Yes",H24,0)))</f>
        <v>0</v>
      </c>
      <c r="P24" s="41" t="n">
        <f aca="false">Workflow!C11</f>
        <v>0.9</v>
      </c>
      <c r="Q24" s="41" t="n">
        <f aca="false">Workflow!D11</f>
        <v>0.05</v>
      </c>
      <c r="R24" s="97" t="n">
        <f aca="false">Catalog!E9*F24</f>
        <v>0.0076</v>
      </c>
    </row>
    <row r="26" customFormat="false" ht="21.75" hidden="false" customHeight="true" outlineLevel="0" collapsed="false">
      <c r="A26" s="4" t="s">
        <v>535</v>
      </c>
      <c r="B26" s="4"/>
      <c r="C26" s="4"/>
      <c r="D26" s="4"/>
      <c r="E26" s="4"/>
      <c r="F26" s="4"/>
      <c r="G26" s="4"/>
      <c r="H26" s="4"/>
      <c r="I26" s="4"/>
      <c r="J26" s="4"/>
      <c r="K26" s="4"/>
      <c r="L26" s="4"/>
      <c r="M26" s="4"/>
      <c r="N26" s="4"/>
      <c r="O26" s="4"/>
      <c r="P26" s="4"/>
      <c r="Q26" s="4"/>
      <c r="R26" s="4"/>
    </row>
    <row r="27" customFormat="false" ht="27.75" hidden="false" customHeight="true" outlineLevel="0" collapsed="false">
      <c r="A27" s="19" t="s">
        <v>116</v>
      </c>
      <c r="B27" s="19" t="s">
        <v>536</v>
      </c>
      <c r="C27" s="19" t="s">
        <v>537</v>
      </c>
      <c r="D27" s="19" t="s">
        <v>538</v>
      </c>
      <c r="E27" s="19" t="s">
        <v>503</v>
      </c>
      <c r="F27" s="19" t="s">
        <v>505</v>
      </c>
    </row>
    <row r="28" customFormat="false" ht="15" hidden="false" customHeight="true" outlineLevel="0" collapsed="false">
      <c r="A28" s="95" t="str">
        <f aca="false">Assumptions!A42</f>
        <v>Base</v>
      </c>
      <c r="B28" s="60" t="n">
        <f aca="false">SUM(L5:L8)</f>
        <v>54135.172</v>
      </c>
      <c r="C28" s="60" t="n">
        <f aca="false">SUM(M5:M8)</f>
        <v>600</v>
      </c>
      <c r="D28" s="60" t="n">
        <f aca="false">B28+C28</f>
        <v>54735.172</v>
      </c>
      <c r="E28" s="90" t="n">
        <f aca="false">SUM(J5:J8)</f>
        <v>2332377</v>
      </c>
      <c r="F28" s="90" t="n">
        <f aca="false">SUM(K5:K8)</f>
        <v>2317377</v>
      </c>
    </row>
    <row r="29" customFormat="false" ht="15" hidden="false" customHeight="true" outlineLevel="0" collapsed="false">
      <c r="A29" s="95" t="str">
        <f aca="false">Assumptions!A43</f>
        <v>Growth</v>
      </c>
      <c r="B29" s="60" t="n">
        <f aca="false">SUM(L9:L12)</f>
        <v>172490.2745</v>
      </c>
      <c r="C29" s="60" t="n">
        <f aca="false">SUM(M9:M12)</f>
        <v>600</v>
      </c>
      <c r="D29" s="60" t="n">
        <f aca="false">B29+C29</f>
        <v>173090.2745</v>
      </c>
      <c r="E29" s="90" t="n">
        <f aca="false">SUM(J9:J12)</f>
        <v>7749922.5</v>
      </c>
      <c r="F29" s="90" t="n">
        <f aca="false">SUM(K9:K12)</f>
        <v>7734922.5</v>
      </c>
    </row>
    <row r="30" customFormat="false" ht="15" hidden="false" customHeight="true" outlineLevel="0" collapsed="false">
      <c r="A30" s="95" t="str">
        <f aca="false">Assumptions!A44</f>
        <v>Heavy-user tail</v>
      </c>
      <c r="B30" s="60" t="n">
        <f aca="false">SUM(L13:L16)</f>
        <v>96434.2</v>
      </c>
      <c r="C30" s="60" t="n">
        <f aca="false">SUM(M13:M16)</f>
        <v>600</v>
      </c>
      <c r="D30" s="60" t="n">
        <f aca="false">B30+C30</f>
        <v>97034.2</v>
      </c>
      <c r="E30" s="90" t="n">
        <f aca="false">SUM(J13:J16)</f>
        <v>4190450</v>
      </c>
      <c r="F30" s="90" t="n">
        <f aca="false">SUM(K13:K16)</f>
        <v>4175450</v>
      </c>
    </row>
    <row r="31" customFormat="false" ht="15" hidden="false" customHeight="true" outlineLevel="0" collapsed="false">
      <c r="A31" s="95" t="str">
        <f aca="false">Assumptions!A45</f>
        <v>Vendor +25%</v>
      </c>
      <c r="B31" s="60" t="n">
        <f aca="false">SUM(L17:L20)</f>
        <v>67668.965</v>
      </c>
      <c r="C31" s="60" t="n">
        <f aca="false">SUM(M17:M20)</f>
        <v>600</v>
      </c>
      <c r="D31" s="60" t="n">
        <f aca="false">B31+C31</f>
        <v>68268.965</v>
      </c>
      <c r="E31" s="90" t="n">
        <f aca="false">SUM(J17:J20)</f>
        <v>2332377</v>
      </c>
      <c r="F31" s="90" t="n">
        <f aca="false">SUM(K17:K20)</f>
        <v>2317377</v>
      </c>
    </row>
    <row r="32" customFormat="false" ht="15" hidden="false" customHeight="true" outlineLevel="0" collapsed="false">
      <c r="A32" s="95" t="str">
        <f aca="false">Assumptions!A46</f>
        <v>Efficiency</v>
      </c>
      <c r="B32" s="60" t="n">
        <f aca="false">SUM(L21:L24)</f>
        <v>51513.9839375</v>
      </c>
      <c r="C32" s="60" t="n">
        <f aca="false">SUM(M21:M24)</f>
        <v>600</v>
      </c>
      <c r="D32" s="60" t="n">
        <f aca="false">B32+C32</f>
        <v>52113.9839375</v>
      </c>
      <c r="E32" s="90" t="n">
        <f aca="false">SUM(J21:J24)</f>
        <v>2276569.6875</v>
      </c>
      <c r="F32" s="90" t="n">
        <f aca="false">SUM(K21:K24)</f>
        <v>2261569.6875</v>
      </c>
    </row>
    <row r="34" customFormat="false" ht="24" hidden="false" customHeight="true" outlineLevel="0" collapsed="false">
      <c r="A34" s="24" t="s">
        <v>539</v>
      </c>
      <c r="B34" s="24"/>
      <c r="C34" s="24"/>
      <c r="D34" s="24"/>
      <c r="E34" s="24"/>
      <c r="F34" s="24"/>
      <c r="G34" s="24"/>
      <c r="H34" s="24"/>
      <c r="I34" s="24"/>
      <c r="J34" s="24"/>
      <c r="K34" s="24"/>
      <c r="L34" s="24"/>
      <c r="M34" s="24"/>
      <c r="N34" s="24"/>
      <c r="O34" s="24"/>
      <c r="P34" s="24"/>
      <c r="Q34" s="24"/>
      <c r="R34" s="24"/>
    </row>
    <row r="36" customFormat="false" ht="21.75" hidden="false" customHeight="true" outlineLevel="0" collapsed="false">
      <c r="A36" s="43" t="s">
        <v>540</v>
      </c>
      <c r="B36" s="43"/>
      <c r="C36" s="43"/>
      <c r="D36" s="43"/>
      <c r="E36" s="43"/>
      <c r="F36" s="43"/>
      <c r="G36" s="43"/>
      <c r="H36" s="43"/>
      <c r="I36" s="43"/>
      <c r="J36" s="43"/>
      <c r="K36" s="43"/>
      <c r="L36" s="43"/>
      <c r="M36" s="43"/>
      <c r="N36" s="43"/>
      <c r="O36" s="43"/>
      <c r="P36" s="43"/>
      <c r="Q36" s="43"/>
      <c r="R36" s="43"/>
    </row>
    <row r="37" customFormat="false" ht="27.75" hidden="false" customHeight="true" outlineLevel="0" collapsed="false">
      <c r="A37" s="44" t="s">
        <v>541</v>
      </c>
      <c r="B37" s="44"/>
      <c r="C37" s="44"/>
      <c r="D37" s="44"/>
      <c r="E37" s="44"/>
      <c r="F37" s="44"/>
      <c r="G37" s="44"/>
      <c r="H37" s="44"/>
      <c r="I37" s="44"/>
      <c r="J37" s="44"/>
      <c r="K37" s="44"/>
      <c r="L37" s="44"/>
      <c r="M37" s="44"/>
      <c r="N37" s="44"/>
      <c r="O37" s="44"/>
      <c r="P37" s="44"/>
      <c r="Q37" s="44"/>
      <c r="R37" s="44"/>
    </row>
    <row r="38" customFormat="false" ht="30" hidden="false" customHeight="true" outlineLevel="0" collapsed="false">
      <c r="A38" s="46" t="s">
        <v>116</v>
      </c>
      <c r="B38" s="93" t="s">
        <v>542</v>
      </c>
      <c r="C38" s="93"/>
      <c r="D38" s="93"/>
      <c r="E38" s="93"/>
      <c r="F38" s="93"/>
      <c r="G38" s="93"/>
      <c r="H38" s="93"/>
      <c r="I38" s="93"/>
      <c r="J38" s="93"/>
      <c r="K38" s="93"/>
      <c r="L38" s="93"/>
      <c r="M38" s="93"/>
      <c r="N38" s="93"/>
      <c r="O38" s="93"/>
      <c r="P38" s="93"/>
      <c r="Q38" s="93"/>
      <c r="R38" s="93"/>
    </row>
    <row r="39" customFormat="false" ht="30" hidden="false" customHeight="true" outlineLevel="0" collapsed="false">
      <c r="A39" s="48" t="s">
        <v>232</v>
      </c>
      <c r="B39" s="49" t="s">
        <v>543</v>
      </c>
      <c r="C39" s="49"/>
      <c r="D39" s="49"/>
      <c r="E39" s="49"/>
      <c r="F39" s="49"/>
      <c r="G39" s="49"/>
      <c r="H39" s="49"/>
      <c r="I39" s="49"/>
      <c r="J39" s="49"/>
      <c r="K39" s="49"/>
      <c r="L39" s="49"/>
      <c r="M39" s="49"/>
      <c r="N39" s="49"/>
      <c r="O39" s="49"/>
      <c r="P39" s="49"/>
      <c r="Q39" s="49"/>
      <c r="R39" s="49"/>
    </row>
    <row r="40" customFormat="false" ht="30" hidden="false" customHeight="true" outlineLevel="0" collapsed="false">
      <c r="A40" s="46" t="s">
        <v>186</v>
      </c>
      <c r="B40" s="93" t="s">
        <v>544</v>
      </c>
      <c r="C40" s="93"/>
      <c r="D40" s="93"/>
      <c r="E40" s="93"/>
      <c r="F40" s="93"/>
      <c r="G40" s="93"/>
      <c r="H40" s="93"/>
      <c r="I40" s="93"/>
      <c r="J40" s="93"/>
      <c r="K40" s="93"/>
      <c r="L40" s="93"/>
      <c r="M40" s="93"/>
      <c r="N40" s="93"/>
      <c r="O40" s="93"/>
      <c r="P40" s="93"/>
      <c r="Q40" s="93"/>
      <c r="R40" s="93"/>
    </row>
    <row r="41" customFormat="false" ht="30" hidden="false" customHeight="true" outlineLevel="0" collapsed="false">
      <c r="A41" s="48" t="s">
        <v>521</v>
      </c>
      <c r="B41" s="49" t="s">
        <v>545</v>
      </c>
      <c r="C41" s="49"/>
      <c r="D41" s="49"/>
      <c r="E41" s="49"/>
      <c r="F41" s="49"/>
      <c r="G41" s="49"/>
      <c r="H41" s="49"/>
      <c r="I41" s="49"/>
      <c r="J41" s="49"/>
      <c r="K41" s="49"/>
      <c r="L41" s="49"/>
      <c r="M41" s="49"/>
      <c r="N41" s="49"/>
      <c r="O41" s="49"/>
      <c r="P41" s="49"/>
      <c r="Q41" s="49"/>
      <c r="R41" s="49"/>
    </row>
    <row r="42" customFormat="false" ht="30" hidden="false" customHeight="true" outlineLevel="0" collapsed="false">
      <c r="A42" s="46" t="s">
        <v>188</v>
      </c>
      <c r="B42" s="93" t="s">
        <v>546</v>
      </c>
      <c r="C42" s="93"/>
      <c r="D42" s="93"/>
      <c r="E42" s="93"/>
      <c r="F42" s="93"/>
      <c r="G42" s="93"/>
      <c r="H42" s="93"/>
      <c r="I42" s="93"/>
      <c r="J42" s="93"/>
      <c r="K42" s="93"/>
      <c r="L42" s="93"/>
      <c r="M42" s="93"/>
      <c r="N42" s="93"/>
      <c r="O42" s="93"/>
      <c r="P42" s="93"/>
      <c r="Q42" s="93"/>
      <c r="R42" s="93"/>
    </row>
    <row r="43" customFormat="false" ht="30" hidden="false" customHeight="true" outlineLevel="0" collapsed="false">
      <c r="A43" s="48" t="s">
        <v>522</v>
      </c>
      <c r="B43" s="49" t="s">
        <v>547</v>
      </c>
      <c r="C43" s="49"/>
      <c r="D43" s="49"/>
      <c r="E43" s="49"/>
      <c r="F43" s="49"/>
      <c r="G43" s="49"/>
      <c r="H43" s="49"/>
      <c r="I43" s="49"/>
      <c r="J43" s="49"/>
      <c r="K43" s="49"/>
      <c r="L43" s="49"/>
      <c r="M43" s="49"/>
      <c r="N43" s="49"/>
      <c r="O43" s="49"/>
      <c r="P43" s="49"/>
      <c r="Q43" s="49"/>
      <c r="R43" s="49"/>
    </row>
    <row r="44" customFormat="false" ht="30" hidden="false" customHeight="true" outlineLevel="0" collapsed="false">
      <c r="A44" s="46" t="s">
        <v>523</v>
      </c>
      <c r="B44" s="93" t="s">
        <v>548</v>
      </c>
      <c r="C44" s="93"/>
      <c r="D44" s="93"/>
      <c r="E44" s="93"/>
      <c r="F44" s="93"/>
      <c r="G44" s="93"/>
      <c r="H44" s="93"/>
      <c r="I44" s="93"/>
      <c r="J44" s="93"/>
      <c r="K44" s="93"/>
      <c r="L44" s="93"/>
      <c r="M44" s="93"/>
      <c r="N44" s="93"/>
      <c r="O44" s="93"/>
      <c r="P44" s="93"/>
      <c r="Q44" s="93"/>
      <c r="R44" s="93"/>
    </row>
    <row r="45" customFormat="false" ht="30" hidden="false" customHeight="true" outlineLevel="0" collapsed="false">
      <c r="A45" s="48" t="s">
        <v>524</v>
      </c>
      <c r="B45" s="49" t="s">
        <v>549</v>
      </c>
      <c r="C45" s="49"/>
      <c r="D45" s="49"/>
      <c r="E45" s="49"/>
      <c r="F45" s="49"/>
      <c r="G45" s="49"/>
      <c r="H45" s="49"/>
      <c r="I45" s="49"/>
      <c r="J45" s="49"/>
      <c r="K45" s="49"/>
      <c r="L45" s="49"/>
      <c r="M45" s="49"/>
      <c r="N45" s="49"/>
      <c r="O45" s="49"/>
      <c r="P45" s="49"/>
      <c r="Q45" s="49"/>
      <c r="R45" s="49"/>
    </row>
    <row r="46" customFormat="false" ht="30" hidden="false" customHeight="true" outlineLevel="0" collapsed="false">
      <c r="A46" s="46" t="s">
        <v>525</v>
      </c>
      <c r="B46" s="93" t="s">
        <v>550</v>
      </c>
      <c r="C46" s="93"/>
      <c r="D46" s="93"/>
      <c r="E46" s="93"/>
      <c r="F46" s="93"/>
      <c r="G46" s="93"/>
      <c r="H46" s="93"/>
      <c r="I46" s="93"/>
      <c r="J46" s="93"/>
      <c r="K46" s="93"/>
      <c r="L46" s="93"/>
      <c r="M46" s="93"/>
      <c r="N46" s="93"/>
      <c r="O46" s="93"/>
      <c r="P46" s="93"/>
      <c r="Q46" s="93"/>
      <c r="R46" s="93"/>
    </row>
    <row r="47" customFormat="false" ht="30" hidden="false" customHeight="true" outlineLevel="0" collapsed="false">
      <c r="A47" s="48" t="s">
        <v>526</v>
      </c>
      <c r="B47" s="49" t="s">
        <v>551</v>
      </c>
      <c r="C47" s="49"/>
      <c r="D47" s="49"/>
      <c r="E47" s="49"/>
      <c r="F47" s="49"/>
      <c r="G47" s="49"/>
      <c r="H47" s="49"/>
      <c r="I47" s="49"/>
      <c r="J47" s="49"/>
      <c r="K47" s="49"/>
      <c r="L47" s="49"/>
      <c r="M47" s="49"/>
      <c r="N47" s="49"/>
      <c r="O47" s="49"/>
      <c r="P47" s="49"/>
      <c r="Q47" s="49"/>
      <c r="R47" s="49"/>
    </row>
    <row r="48" customFormat="false" ht="30" hidden="false" customHeight="true" outlineLevel="0" collapsed="false">
      <c r="A48" s="46" t="s">
        <v>527</v>
      </c>
      <c r="B48" s="93" t="s">
        <v>552</v>
      </c>
      <c r="C48" s="93"/>
      <c r="D48" s="93"/>
      <c r="E48" s="93"/>
      <c r="F48" s="93"/>
      <c r="G48" s="93"/>
      <c r="H48" s="93"/>
      <c r="I48" s="93"/>
      <c r="J48" s="93"/>
      <c r="K48" s="93"/>
      <c r="L48" s="93"/>
      <c r="M48" s="93"/>
      <c r="N48" s="93"/>
      <c r="O48" s="93"/>
      <c r="P48" s="93"/>
      <c r="Q48" s="93"/>
      <c r="R48" s="93"/>
    </row>
    <row r="49" customFormat="false" ht="30" hidden="false" customHeight="true" outlineLevel="0" collapsed="false">
      <c r="A49" s="48" t="s">
        <v>528</v>
      </c>
      <c r="B49" s="49" t="s">
        <v>553</v>
      </c>
      <c r="C49" s="49"/>
      <c r="D49" s="49"/>
      <c r="E49" s="49"/>
      <c r="F49" s="49"/>
      <c r="G49" s="49"/>
      <c r="H49" s="49"/>
      <c r="I49" s="49"/>
      <c r="J49" s="49"/>
      <c r="K49" s="49"/>
      <c r="L49" s="49"/>
      <c r="M49" s="49"/>
      <c r="N49" s="49"/>
      <c r="O49" s="49"/>
      <c r="P49" s="49"/>
      <c r="Q49" s="49"/>
      <c r="R49" s="49"/>
    </row>
    <row r="50" customFormat="false" ht="30" hidden="false" customHeight="true" outlineLevel="0" collapsed="false">
      <c r="A50" s="46" t="s">
        <v>529</v>
      </c>
      <c r="B50" s="93" t="s">
        <v>554</v>
      </c>
      <c r="C50" s="93"/>
      <c r="D50" s="93"/>
      <c r="E50" s="93"/>
      <c r="F50" s="93"/>
      <c r="G50" s="93"/>
      <c r="H50" s="93"/>
      <c r="I50" s="93"/>
      <c r="J50" s="93"/>
      <c r="K50" s="93"/>
      <c r="L50" s="93"/>
      <c r="M50" s="93"/>
      <c r="N50" s="93"/>
      <c r="O50" s="93"/>
      <c r="P50" s="93"/>
      <c r="Q50" s="93"/>
      <c r="R50" s="93"/>
    </row>
    <row r="51" customFormat="false" ht="30" hidden="false" customHeight="true" outlineLevel="0" collapsed="false">
      <c r="A51" s="48" t="s">
        <v>530</v>
      </c>
      <c r="B51" s="49" t="s">
        <v>555</v>
      </c>
      <c r="C51" s="49"/>
      <c r="D51" s="49"/>
      <c r="E51" s="49"/>
      <c r="F51" s="49"/>
      <c r="G51" s="49"/>
      <c r="H51" s="49"/>
      <c r="I51" s="49"/>
      <c r="J51" s="49"/>
      <c r="K51" s="49"/>
      <c r="L51" s="49"/>
      <c r="M51" s="49"/>
      <c r="N51" s="49"/>
      <c r="O51" s="49"/>
      <c r="P51" s="49"/>
      <c r="Q51" s="49"/>
      <c r="R51" s="49"/>
    </row>
    <row r="52" customFormat="false" ht="30" hidden="false" customHeight="true" outlineLevel="0" collapsed="false">
      <c r="A52" s="46" t="s">
        <v>531</v>
      </c>
      <c r="B52" s="93" t="s">
        <v>556</v>
      </c>
      <c r="C52" s="93"/>
      <c r="D52" s="93"/>
      <c r="E52" s="93"/>
      <c r="F52" s="93"/>
      <c r="G52" s="93"/>
      <c r="H52" s="93"/>
      <c r="I52" s="93"/>
      <c r="J52" s="93"/>
      <c r="K52" s="93"/>
      <c r="L52" s="93"/>
      <c r="M52" s="93"/>
      <c r="N52" s="93"/>
      <c r="O52" s="93"/>
      <c r="P52" s="93"/>
      <c r="Q52" s="93"/>
      <c r="R52" s="93"/>
    </row>
    <row r="53" customFormat="false" ht="30" hidden="false" customHeight="true" outlineLevel="0" collapsed="false">
      <c r="A53" s="48" t="s">
        <v>532</v>
      </c>
      <c r="B53" s="49" t="s">
        <v>557</v>
      </c>
      <c r="C53" s="49"/>
      <c r="D53" s="49"/>
      <c r="E53" s="49"/>
      <c r="F53" s="49"/>
      <c r="G53" s="49"/>
      <c r="H53" s="49"/>
      <c r="I53" s="49"/>
      <c r="J53" s="49"/>
      <c r="K53" s="49"/>
      <c r="L53" s="49"/>
      <c r="M53" s="49"/>
      <c r="N53" s="49"/>
      <c r="O53" s="49"/>
      <c r="P53" s="49"/>
      <c r="Q53" s="49"/>
      <c r="R53" s="49"/>
    </row>
    <row r="54" customFormat="false" ht="30" hidden="false" customHeight="true" outlineLevel="0" collapsed="false">
      <c r="A54" s="46" t="s">
        <v>533</v>
      </c>
      <c r="B54" s="93" t="s">
        <v>558</v>
      </c>
      <c r="C54" s="93"/>
      <c r="D54" s="93"/>
      <c r="E54" s="93"/>
      <c r="F54" s="93"/>
      <c r="G54" s="93"/>
      <c r="H54" s="93"/>
      <c r="I54" s="93"/>
      <c r="J54" s="93"/>
      <c r="K54" s="93"/>
      <c r="L54" s="93"/>
      <c r="M54" s="93"/>
      <c r="N54" s="93"/>
      <c r="O54" s="93"/>
      <c r="P54" s="93"/>
      <c r="Q54" s="93"/>
      <c r="R54" s="93"/>
    </row>
    <row r="55" customFormat="false" ht="30" hidden="false" customHeight="true" outlineLevel="0" collapsed="false">
      <c r="A55" s="48" t="s">
        <v>534</v>
      </c>
      <c r="B55" s="49" t="s">
        <v>559</v>
      </c>
      <c r="C55" s="49"/>
      <c r="D55" s="49"/>
      <c r="E55" s="49"/>
      <c r="F55" s="49"/>
      <c r="G55" s="49"/>
      <c r="H55" s="49"/>
      <c r="I55" s="49"/>
      <c r="J55" s="49"/>
      <c r="K55" s="49"/>
      <c r="L55" s="49"/>
      <c r="M55" s="49"/>
      <c r="N55" s="49"/>
      <c r="O55" s="49"/>
      <c r="P55" s="49"/>
      <c r="Q55" s="49"/>
      <c r="R55" s="49"/>
    </row>
  </sheetData>
  <mergeCells count="24">
    <mergeCell ref="A1:R1"/>
    <mergeCell ref="A2:R2"/>
    <mergeCell ref="A26:R26"/>
    <mergeCell ref="A34:R34"/>
    <mergeCell ref="A36:R36"/>
    <mergeCell ref="A37:R37"/>
    <mergeCell ref="B38:R38"/>
    <mergeCell ref="B39:R39"/>
    <mergeCell ref="B40:R40"/>
    <mergeCell ref="B41:R41"/>
    <mergeCell ref="B42:R42"/>
    <mergeCell ref="B43:R43"/>
    <mergeCell ref="B44:R44"/>
    <mergeCell ref="B45:R45"/>
    <mergeCell ref="B46:R46"/>
    <mergeCell ref="B47:R47"/>
    <mergeCell ref="B48:R48"/>
    <mergeCell ref="B49:R49"/>
    <mergeCell ref="B50:R50"/>
    <mergeCell ref="B51:R51"/>
    <mergeCell ref="B52:R52"/>
    <mergeCell ref="B53:R53"/>
    <mergeCell ref="B54:R54"/>
    <mergeCell ref="B55:R55"/>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&amp;LEngine</oddHeader>
    <oddFooter>&amp;LIllustrative management model — not a GAAP statement&amp;RPage &amp;P of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true"/>
  </sheetPr>
  <dimension ref="A1: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4"/>
    <col collapsed="false" customWidth="true" hidden="false" outlineLevel="0" max="2" min="2" style="1" width="78"/>
    <col collapsed="false" customWidth="true" hidden="false" outlineLevel="0" max="3" min="3" style="1" width="56"/>
    <col collapsed="false" customWidth="true" hidden="false" outlineLevel="0" max="4" min="4" style="1" width="24"/>
  </cols>
  <sheetData>
    <row r="1" customFormat="false" ht="21.75" hidden="false" customHeight="true" outlineLevel="0" collapsed="false">
      <c r="A1" s="26" t="s">
        <v>560</v>
      </c>
      <c r="B1" s="26"/>
      <c r="C1" s="26"/>
      <c r="D1" s="26"/>
    </row>
    <row r="2" customFormat="false" ht="15" hidden="false" customHeight="true" outlineLevel="0" collapsed="false">
      <c r="A2" s="3" t="s">
        <v>561</v>
      </c>
      <c r="B2" s="3"/>
      <c r="C2" s="3"/>
      <c r="D2" s="3"/>
    </row>
    <row r="4" customFormat="false" ht="27.75" hidden="false" customHeight="true" outlineLevel="0" collapsed="false">
      <c r="A4" s="19" t="s">
        <v>562</v>
      </c>
      <c r="B4" s="19" t="s">
        <v>563</v>
      </c>
      <c r="C4" s="19" t="s">
        <v>564</v>
      </c>
      <c r="D4" s="19" t="s">
        <v>565</v>
      </c>
    </row>
    <row r="5" customFormat="false" ht="27.75" hidden="false" customHeight="true" outlineLevel="0" collapsed="false">
      <c r="A5" s="8" t="s">
        <v>566</v>
      </c>
      <c r="B5" s="98" t="s">
        <v>567</v>
      </c>
      <c r="C5" s="66" t="s">
        <v>568</v>
      </c>
      <c r="D5" s="69" t="s">
        <v>569</v>
      </c>
    </row>
    <row r="6" customFormat="false" ht="27.75" hidden="false" customHeight="true" outlineLevel="0" collapsed="false">
      <c r="A6" s="8" t="s">
        <v>570</v>
      </c>
      <c r="B6" s="98" t="s">
        <v>571</v>
      </c>
      <c r="C6" s="66" t="s">
        <v>572</v>
      </c>
      <c r="D6" s="69" t="s">
        <v>573</v>
      </c>
    </row>
    <row r="7" customFormat="false" ht="27.75" hidden="false" customHeight="true" outlineLevel="0" collapsed="false">
      <c r="A7" s="8" t="s">
        <v>574</v>
      </c>
      <c r="B7" s="98" t="s">
        <v>575</v>
      </c>
      <c r="C7" s="66" t="s">
        <v>576</v>
      </c>
      <c r="D7" s="69" t="s">
        <v>577</v>
      </c>
    </row>
    <row r="8" customFormat="false" ht="27.75" hidden="false" customHeight="true" outlineLevel="0" collapsed="false">
      <c r="A8" s="8" t="s">
        <v>578</v>
      </c>
      <c r="B8" s="98" t="s">
        <v>579</v>
      </c>
      <c r="C8" s="66" t="s">
        <v>580</v>
      </c>
      <c r="D8" s="69" t="s">
        <v>581</v>
      </c>
    </row>
    <row r="9" customFormat="false" ht="27.75" hidden="false" customHeight="true" outlineLevel="0" collapsed="false">
      <c r="A9" s="8" t="s">
        <v>582</v>
      </c>
      <c r="B9" s="98" t="s">
        <v>583</v>
      </c>
      <c r="C9" s="66" t="s">
        <v>584</v>
      </c>
      <c r="D9" s="69" t="s">
        <v>585</v>
      </c>
    </row>
    <row r="10" customFormat="false" ht="27.75" hidden="false" customHeight="true" outlineLevel="0" collapsed="false">
      <c r="A10" s="8" t="s">
        <v>586</v>
      </c>
      <c r="B10" s="98" t="s">
        <v>587</v>
      </c>
      <c r="C10" s="66" t="s">
        <v>588</v>
      </c>
      <c r="D10" s="69" t="s">
        <v>569</v>
      </c>
    </row>
    <row r="11" customFormat="false" ht="27.75" hidden="false" customHeight="true" outlineLevel="0" collapsed="false">
      <c r="A11" s="8" t="s">
        <v>589</v>
      </c>
      <c r="B11" s="98" t="s">
        <v>590</v>
      </c>
      <c r="C11" s="66" t="s">
        <v>591</v>
      </c>
      <c r="D11" s="69" t="s">
        <v>569</v>
      </c>
    </row>
    <row r="12" customFormat="false" ht="27.75" hidden="false" customHeight="true" outlineLevel="0" collapsed="false">
      <c r="A12" s="8" t="s">
        <v>592</v>
      </c>
      <c r="B12" s="98" t="s">
        <v>593</v>
      </c>
      <c r="C12" s="66" t="s">
        <v>594</v>
      </c>
      <c r="D12" s="69" t="s">
        <v>595</v>
      </c>
    </row>
    <row r="14" customFormat="false" ht="21.75" hidden="false" customHeight="true" outlineLevel="0" collapsed="false">
      <c r="A14" s="25" t="s">
        <v>596</v>
      </c>
      <c r="B14" s="25"/>
      <c r="C14" s="25"/>
      <c r="D14" s="25"/>
    </row>
  </sheetData>
  <mergeCells count="3">
    <mergeCell ref="A1:D1"/>
    <mergeCell ref="A2:D2"/>
    <mergeCell ref="A14:D14"/>
  </mergeCells>
  <hyperlinks>
    <hyperlink ref="B5" r:id="rId1" display="https://productify.substack.com/p/p-and-l-management-for-product-leads"/>
    <hyperlink ref="B6" r:id="rId2" display="https://www.finops.org/framework/capabilities/unit-economics/"/>
    <hyperlink ref="B7" r:id="rId3" display="https://docs.cloudzero.com/docs/unit-economics"/>
    <hyperlink ref="B8" r:id="rId4" display="https://www.cloudzero.com/blog/api-metrics/"/>
    <hyperlink ref="B9" r:id="rId5" display="https://ainativeproductmanager.com/builders-stack/frontier/unit-economics/cost-per-task"/>
    <hyperlink ref="B10" r:id="rId6" display="https://www.mindtheproduct.com/the-3-financial-metrics-every-pm-needs-on-their-scorecard/"/>
    <hyperlink ref="B11" r:id="rId7" display="https://www.productcoalition.com/p/the-number-your-board-asks-first"/>
    <hyperlink ref="B12" r:id="rId8" display="https://godigitalml.medium.com/api-kpis-part-2-the-api-product-management-kpis-worksheet-d984d9369ff3"/>
  </hyperlink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&amp;LSources</oddHeader>
    <oddFooter>&amp;LIllustrative management model — not a GAAP statement&amp;RPage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6C6C"/>
    <pageSetUpPr fitToPage="true"/>
  </sheetPr>
  <dimension ref="A1:I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6"/>
    <col collapsed="false" customWidth="true" hidden="false" outlineLevel="0" max="8" min="2" style="1" width="18"/>
    <col collapsed="false" customWidth="true" hidden="false" outlineLevel="0" max="9" min="9" style="1" width="22"/>
  </cols>
  <sheetData>
    <row r="1" customFormat="false" ht="25.5" hidden="false" customHeight="true" outlineLevel="0" collapsed="false">
      <c r="A1" s="26" t="s">
        <v>87</v>
      </c>
      <c r="B1" s="26"/>
      <c r="C1" s="26"/>
      <c r="D1" s="26"/>
      <c r="E1" s="26"/>
      <c r="F1" s="26"/>
      <c r="G1" s="26"/>
      <c r="H1" s="26"/>
      <c r="I1" s="26"/>
    </row>
    <row r="2" customFormat="false" ht="15" hidden="false" customHeight="true" outlineLevel="0" collapsed="false">
      <c r="A2" s="3" t="s">
        <v>88</v>
      </c>
      <c r="B2" s="3"/>
      <c r="C2" s="3"/>
      <c r="D2" s="3"/>
      <c r="E2" s="3"/>
      <c r="F2" s="3"/>
      <c r="G2" s="3"/>
      <c r="H2" s="3"/>
      <c r="I2" s="3"/>
    </row>
    <row r="4" customFormat="false" ht="21.75" hidden="false" customHeight="true" outlineLevel="0" collapsed="false">
      <c r="A4" s="4" t="s">
        <v>89</v>
      </c>
      <c r="B4" s="4"/>
      <c r="C4" s="4"/>
      <c r="D4" s="4"/>
      <c r="E4" s="4"/>
      <c r="F4" s="4"/>
      <c r="G4" s="4"/>
      <c r="H4" s="4"/>
      <c r="I4" s="4"/>
    </row>
    <row r="5" customFormat="false" ht="23.25" hidden="false" customHeight="true" outlineLevel="0" collapsed="false">
      <c r="A5" s="27" t="s">
        <v>90</v>
      </c>
      <c r="B5" s="27" t="s">
        <v>91</v>
      </c>
      <c r="C5" s="27" t="s">
        <v>92</v>
      </c>
      <c r="D5" s="27" t="s">
        <v>93</v>
      </c>
      <c r="E5" s="27" t="s">
        <v>94</v>
      </c>
      <c r="F5" s="27" t="s">
        <v>95</v>
      </c>
      <c r="G5" s="28"/>
      <c r="H5" s="29"/>
      <c r="I5" s="29"/>
    </row>
    <row r="6" customFormat="false" ht="27.75" hidden="false" customHeight="true" outlineLevel="0" collapsed="false">
      <c r="A6" s="30" t="n">
        <f aca="false">UnitEconomics!B5</f>
        <v>25000</v>
      </c>
      <c r="B6" s="31" t="n">
        <f aca="false">UnitEconomics!B18</f>
        <v>0.121633715555556</v>
      </c>
      <c r="C6" s="31" t="n">
        <f aca="false">UnitEconomics!B19</f>
        <v>0.132210560386473</v>
      </c>
      <c r="D6" s="32" t="n">
        <f aca="false">UnitEconomics!B26</f>
        <v>5.01180688</v>
      </c>
      <c r="E6" s="33" t="n">
        <f aca="false">UnitEconomics!B32</f>
        <v>0.791174713333333</v>
      </c>
      <c r="F6" s="34" t="n">
        <f aca="false">UnitEconomics!B43</f>
        <v>3.9164000069279</v>
      </c>
    </row>
    <row r="8" customFormat="false" ht="21.75" hidden="false" customHeight="true" outlineLevel="0" collapsed="false">
      <c r="A8" s="4" t="s">
        <v>96</v>
      </c>
      <c r="B8" s="4"/>
      <c r="C8" s="4"/>
      <c r="D8" s="4"/>
      <c r="E8" s="4"/>
      <c r="F8" s="4"/>
      <c r="G8" s="4"/>
      <c r="H8" s="4"/>
      <c r="I8" s="4"/>
    </row>
    <row r="9" customFormat="false" ht="23.25" hidden="false" customHeight="true" outlineLevel="0" collapsed="false">
      <c r="A9" s="19" t="s">
        <v>97</v>
      </c>
      <c r="B9" s="19" t="s">
        <v>98</v>
      </c>
      <c r="C9" s="19" t="s">
        <v>99</v>
      </c>
      <c r="D9" s="19" t="s">
        <v>100</v>
      </c>
      <c r="E9" s="19" t="s">
        <v>101</v>
      </c>
      <c r="F9" s="19" t="s">
        <v>102</v>
      </c>
    </row>
    <row r="10" customFormat="false" ht="24" hidden="false" customHeight="true" outlineLevel="0" collapsed="false">
      <c r="A10" s="35" t="n">
        <f aca="false">UnitEconomics!B11</f>
        <v>600000</v>
      </c>
      <c r="B10" s="35" t="n">
        <f aca="false">UnitEconomics!B17</f>
        <v>54735.172</v>
      </c>
      <c r="C10" s="35" t="n">
        <f aca="false">UnitEconomics!B25</f>
        <v>125295.172</v>
      </c>
      <c r="D10" s="35" t="n">
        <f aca="false">UnitEconomics!B31</f>
        <v>474704.828</v>
      </c>
      <c r="E10" s="35" t="n">
        <f aca="false">UnitEconomics!B35</f>
        <v>389704.828</v>
      </c>
      <c r="F10" s="35" t="n">
        <f aca="false">UnitEconomics!B40</f>
        <v>269100</v>
      </c>
    </row>
    <row r="12" customFormat="false" ht="21.75" hidden="false" customHeight="true" outlineLevel="0" collapsed="false">
      <c r="A12" s="4" t="s">
        <v>103</v>
      </c>
      <c r="B12" s="4"/>
      <c r="C12" s="4"/>
      <c r="D12" s="4"/>
      <c r="E12" s="4"/>
      <c r="F12" s="4"/>
      <c r="G12" s="4"/>
      <c r="H12" s="4"/>
      <c r="I12" s="4"/>
    </row>
    <row r="13" customFormat="false" ht="23.25" hidden="false" customHeight="true" outlineLevel="0" collapsed="false">
      <c r="A13" s="36" t="s">
        <v>104</v>
      </c>
      <c r="B13" s="37" t="n">
        <f aca="false">Workflow!C15</f>
        <v>0.127094</v>
      </c>
      <c r="C13" s="36" t="s">
        <v>105</v>
      </c>
      <c r="D13" s="37" t="n">
        <f aca="false">Workflow!C16</f>
        <v>0.044396</v>
      </c>
      <c r="E13" s="36" t="s">
        <v>106</v>
      </c>
      <c r="F13" s="37" t="n">
        <f aca="false">Workflow!C19</f>
        <v>0.00386052173913043</v>
      </c>
      <c r="G13" s="36" t="s">
        <v>107</v>
      </c>
      <c r="H13" s="38" t="str">
        <f aca="false">Workflow!C22</f>
        <v>OK — identities match</v>
      </c>
    </row>
    <row r="15" customFormat="false" ht="21.75" hidden="false" customHeight="true" outlineLevel="0" collapsed="false">
      <c r="A15" s="4" t="s">
        <v>108</v>
      </c>
      <c r="B15" s="4"/>
      <c r="C15" s="4"/>
      <c r="D15" s="4"/>
      <c r="E15" s="4"/>
      <c r="F15" s="4"/>
      <c r="G15" s="4"/>
      <c r="H15" s="4"/>
      <c r="I15" s="4"/>
    </row>
    <row r="16" customFormat="false" ht="27.75" hidden="false" customHeight="true" outlineLevel="0" collapsed="false">
      <c r="A16" s="39" t="s">
        <v>109</v>
      </c>
      <c r="B16" s="39"/>
      <c r="C16" s="39"/>
      <c r="D16" s="39"/>
      <c r="E16" s="40" t="str">
        <f aca="false">IF(Scenarios!G8&lt;Scenarios!G7,"Growth case improves unit cost","Growth case does not improve unit cost — inspect cache, mix, and vendor rates")</f>
        <v>Growth case improves unit cost</v>
      </c>
      <c r="F16" s="40"/>
      <c r="G16" s="40"/>
      <c r="H16" s="40"/>
      <c r="I16" s="40"/>
    </row>
    <row r="17" customFormat="false" ht="27.75" hidden="false" customHeight="true" outlineLevel="0" collapsed="false">
      <c r="A17" s="39" t="s">
        <v>110</v>
      </c>
      <c r="B17" s="39"/>
      <c r="C17" s="39"/>
      <c r="D17" s="39"/>
      <c r="E17" s="40" t="str">
        <f aca="false">IF(Scenarios!K9&gt;0,"Yes, heavy-user GM is still positive — check whether you like the level","No — heavy users are at or below zero margin")</f>
        <v>Yes, heavy-user GM is still positive — check whether you like the level</v>
      </c>
      <c r="F17" s="40"/>
      <c r="G17" s="40"/>
      <c r="H17" s="40"/>
      <c r="I17" s="40"/>
    </row>
    <row r="18" customFormat="false" ht="27.75" hidden="false" customHeight="true" outlineLevel="0" collapsed="false">
      <c r="A18" s="39" t="s">
        <v>111</v>
      </c>
      <c r="B18" s="39"/>
      <c r="C18" s="39"/>
      <c r="D18" s="39"/>
      <c r="E18" s="40" t="str">
        <f aca="false">IF(Scenarios!K10&gt;Scenarios!K7-0.05,"Manageable at these volumes","Material margin hit — this belongs in the vendor / packaging discussion")</f>
        <v>Manageable at these volumes</v>
      </c>
      <c r="F18" s="40"/>
      <c r="G18" s="40"/>
      <c r="H18" s="40"/>
      <c r="I18" s="40"/>
    </row>
    <row r="19" customFormat="false" ht="27.75" hidden="false" customHeight="true" outlineLevel="0" collapsed="false">
      <c r="A19" s="39" t="s">
        <v>112</v>
      </c>
      <c r="B19" s="39"/>
      <c r="C19" s="39"/>
      <c r="D19" s="39"/>
      <c r="E19" s="40" t="str">
        <f aca="false">IF(UnitEconomics!B43&gt;0,"ROI on API spend is positive on the current assumptions","ROI is not positive — cut cost, raise value, or stop treating this as an investment")</f>
        <v>ROI on API spend is positive on the current assumptions</v>
      </c>
      <c r="F19" s="40"/>
      <c r="G19" s="40"/>
      <c r="H19" s="40"/>
      <c r="I19" s="40"/>
    </row>
    <row r="20" customFormat="false" ht="27.75" hidden="false" customHeight="true" outlineLevel="0" collapsed="false">
      <c r="A20" s="39" t="s">
        <v>113</v>
      </c>
      <c r="B20" s="39"/>
      <c r="C20" s="39"/>
      <c r="D20" s="39"/>
      <c r="E20" s="40" t="str">
        <f aca="false">IF(Crossover!D13&lt;0,"No. That customer is unprofitable. Volume scaled a bad unit.","Yes on the current crossover inputs.")</f>
        <v>No. That customer is unprofitable. Volume scaled a bad unit.</v>
      </c>
      <c r="F20" s="40"/>
      <c r="G20" s="40"/>
      <c r="H20" s="40"/>
      <c r="I20" s="40"/>
    </row>
    <row r="22" customFormat="false" ht="24" hidden="false" customHeight="true" outlineLevel="0" collapsed="false">
      <c r="A22" s="25" t="s">
        <v>114</v>
      </c>
      <c r="B22" s="25"/>
      <c r="C22" s="25"/>
      <c r="D22" s="25"/>
      <c r="E22" s="25"/>
      <c r="F22" s="25"/>
      <c r="G22" s="25"/>
      <c r="H22" s="25"/>
      <c r="I22" s="25"/>
    </row>
    <row r="24" customFormat="false" ht="21.75" hidden="false" customHeight="true" outlineLevel="0" collapsed="false">
      <c r="A24" s="4" t="s">
        <v>115</v>
      </c>
      <c r="B24" s="4"/>
      <c r="C24" s="4"/>
      <c r="D24" s="4"/>
      <c r="E24" s="4"/>
      <c r="F24" s="4"/>
      <c r="G24" s="4"/>
      <c r="H24" s="4"/>
      <c r="I24" s="4"/>
    </row>
    <row r="25" customFormat="false" ht="27.75" hidden="false" customHeight="true" outlineLevel="0" collapsed="false">
      <c r="A25" s="19" t="s">
        <v>116</v>
      </c>
      <c r="B25" s="19" t="s">
        <v>117</v>
      </c>
      <c r="C25" s="19" t="s">
        <v>94</v>
      </c>
      <c r="D25" s="19" t="s">
        <v>118</v>
      </c>
    </row>
    <row r="26" customFormat="false" ht="15" hidden="false" customHeight="true" outlineLevel="0" collapsed="false">
      <c r="A26" s="38" t="str">
        <f aca="false">Scenarios!A7</f>
        <v>Base</v>
      </c>
      <c r="B26" s="37" t="n">
        <f aca="false">Scenarios!G7</f>
        <v>0.132210560386473</v>
      </c>
      <c r="C26" s="41" t="n">
        <f aca="false">Scenarios!K7</f>
        <v>0.791174713333333</v>
      </c>
      <c r="D26" s="42" t="n">
        <f aca="false">Scenarios!M7</f>
        <v>3.9164000069279</v>
      </c>
    </row>
    <row r="27" customFormat="false" ht="15" hidden="false" customHeight="true" outlineLevel="0" collapsed="false">
      <c r="A27" s="38" t="str">
        <f aca="false">Scenarios!A8</f>
        <v>Growth</v>
      </c>
      <c r="B27" s="37" t="n">
        <f aca="false">Scenarios!G8</f>
        <v>0.124079049820789</v>
      </c>
      <c r="C27" s="41" t="n">
        <f aca="false">Scenarios!K8</f>
        <v>0.781172069722222</v>
      </c>
      <c r="D27" s="42" t="n">
        <f aca="false">Scenarios!M8</f>
        <v>4.23859588656438</v>
      </c>
    </row>
    <row r="28" customFormat="false" ht="15" hidden="false" customHeight="true" outlineLevel="0" collapsed="false">
      <c r="A28" s="38" t="str">
        <f aca="false">Scenarios!A9</f>
        <v>Heavy-user tail</v>
      </c>
      <c r="B28" s="37" t="n">
        <f aca="false">Scenarios!G9</f>
        <v>0.134769722222222</v>
      </c>
      <c r="C28" s="41" t="n">
        <f aca="false">Scenarios!K9</f>
        <v>0.688609666666667</v>
      </c>
      <c r="D28" s="42" t="n">
        <f aca="false">Scenarios!M9</f>
        <v>3.82304177290069</v>
      </c>
    </row>
    <row r="29" customFormat="false" ht="15" hidden="false" customHeight="true" outlineLevel="0" collapsed="false">
      <c r="A29" s="38" t="str">
        <f aca="false">Scenarios!A10</f>
        <v>Vendor +25%</v>
      </c>
      <c r="B29" s="37" t="n">
        <f aca="false">Scenarios!G10</f>
        <v>0.164900881642512</v>
      </c>
      <c r="C29" s="41" t="n">
        <f aca="false">Scenarios!K10</f>
        <v>0.768618391666667</v>
      </c>
      <c r="D29" s="42" t="n">
        <f aca="false">Scenarios!M10</f>
        <v>2.94176182398547</v>
      </c>
    </row>
    <row r="30" customFormat="false" ht="15" hidden="false" customHeight="true" outlineLevel="0" collapsed="false">
      <c r="A30" s="38" t="str">
        <f aca="false">Scenarios!A11</f>
        <v>Efficiency</v>
      </c>
      <c r="B30" s="37" t="n">
        <f aca="false">Scenarios!G11</f>
        <v>0.121904055994152</v>
      </c>
      <c r="C30" s="41" t="n">
        <f aca="false">Scenarios!K11</f>
        <v>0.794643360104167</v>
      </c>
      <c r="D30" s="42" t="n">
        <f aca="false">Scenarios!M11</f>
        <v>4.33206212622804</v>
      </c>
    </row>
    <row r="32" customFormat="false" ht="21.75" hidden="false" customHeight="true" outlineLevel="0" collapsed="false">
      <c r="A32" s="43" t="s">
        <v>119</v>
      </c>
      <c r="B32" s="43"/>
      <c r="C32" s="43"/>
      <c r="D32" s="43"/>
      <c r="E32" s="43"/>
      <c r="F32" s="43"/>
      <c r="G32" s="43"/>
      <c r="H32" s="43"/>
      <c r="I32" s="43"/>
    </row>
    <row r="33" customFormat="false" ht="27.75" hidden="false" customHeight="true" outlineLevel="0" collapsed="false">
      <c r="A33" s="44" t="s">
        <v>120</v>
      </c>
      <c r="B33" s="44"/>
      <c r="C33" s="44"/>
      <c r="D33" s="44"/>
      <c r="E33" s="44"/>
      <c r="F33" s="44"/>
      <c r="G33" s="44"/>
      <c r="H33" s="44"/>
      <c r="I33" s="44"/>
    </row>
    <row r="34" customFormat="false" ht="21.75" hidden="false" customHeight="true" outlineLevel="0" collapsed="false">
      <c r="A34" s="45" t="s">
        <v>121</v>
      </c>
      <c r="B34" s="45"/>
      <c r="C34" s="45"/>
      <c r="D34" s="45"/>
      <c r="E34" s="45"/>
      <c r="F34" s="45"/>
      <c r="G34" s="45"/>
      <c r="H34" s="45"/>
      <c r="I34" s="45"/>
    </row>
    <row r="35" customFormat="false" ht="36" hidden="false" customHeight="true" outlineLevel="0" collapsed="false">
      <c r="A35" s="46" t="s">
        <v>90</v>
      </c>
      <c r="B35" s="47" t="s">
        <v>122</v>
      </c>
      <c r="C35" s="47"/>
      <c r="D35" s="47"/>
      <c r="E35" s="47"/>
      <c r="F35" s="47"/>
      <c r="G35" s="47"/>
      <c r="H35" s="47"/>
      <c r="I35" s="47"/>
    </row>
    <row r="36" customFormat="false" ht="36" hidden="false" customHeight="true" outlineLevel="0" collapsed="false">
      <c r="A36" s="48" t="s">
        <v>91</v>
      </c>
      <c r="B36" s="49" t="s">
        <v>123</v>
      </c>
      <c r="C36" s="49"/>
      <c r="D36" s="49"/>
      <c r="E36" s="49"/>
      <c r="F36" s="49"/>
      <c r="G36" s="49"/>
      <c r="H36" s="49"/>
      <c r="I36" s="49"/>
    </row>
    <row r="37" customFormat="false" ht="36" hidden="false" customHeight="true" outlineLevel="0" collapsed="false">
      <c r="A37" s="46" t="s">
        <v>92</v>
      </c>
      <c r="B37" s="47" t="s">
        <v>124</v>
      </c>
      <c r="C37" s="47"/>
      <c r="D37" s="47"/>
      <c r="E37" s="47"/>
      <c r="F37" s="47"/>
      <c r="G37" s="47"/>
      <c r="H37" s="47"/>
      <c r="I37" s="47"/>
    </row>
    <row r="38" customFormat="false" ht="36" hidden="false" customHeight="true" outlineLevel="0" collapsed="false">
      <c r="A38" s="48" t="s">
        <v>93</v>
      </c>
      <c r="B38" s="49" t="s">
        <v>125</v>
      </c>
      <c r="C38" s="49"/>
      <c r="D38" s="49"/>
      <c r="E38" s="49"/>
      <c r="F38" s="49"/>
      <c r="G38" s="49"/>
      <c r="H38" s="49"/>
      <c r="I38" s="49"/>
    </row>
    <row r="39" customFormat="false" ht="36" hidden="false" customHeight="true" outlineLevel="0" collapsed="false">
      <c r="A39" s="46" t="s">
        <v>94</v>
      </c>
      <c r="B39" s="47" t="s">
        <v>126</v>
      </c>
      <c r="C39" s="47"/>
      <c r="D39" s="47"/>
      <c r="E39" s="47"/>
      <c r="F39" s="47"/>
      <c r="G39" s="47"/>
      <c r="H39" s="47"/>
      <c r="I39" s="47"/>
    </row>
    <row r="40" customFormat="false" ht="36" hidden="false" customHeight="true" outlineLevel="0" collapsed="false">
      <c r="A40" s="48" t="s">
        <v>95</v>
      </c>
      <c r="B40" s="49" t="s">
        <v>127</v>
      </c>
      <c r="C40" s="49"/>
      <c r="D40" s="49"/>
      <c r="E40" s="49"/>
      <c r="F40" s="49"/>
      <c r="G40" s="49"/>
      <c r="H40" s="49"/>
      <c r="I40" s="49"/>
    </row>
    <row r="41" customFormat="false" ht="21.75" hidden="false" customHeight="true" outlineLevel="0" collapsed="false">
      <c r="A41" s="45" t="s">
        <v>128</v>
      </c>
      <c r="B41" s="45"/>
      <c r="C41" s="45"/>
      <c r="D41" s="45"/>
      <c r="E41" s="45"/>
      <c r="F41" s="45"/>
      <c r="G41" s="45"/>
      <c r="H41" s="45"/>
      <c r="I41" s="45"/>
    </row>
    <row r="42" customFormat="false" ht="36" hidden="false" customHeight="true" outlineLevel="0" collapsed="false">
      <c r="A42" s="46" t="s">
        <v>97</v>
      </c>
      <c r="B42" s="47" t="s">
        <v>129</v>
      </c>
      <c r="C42" s="47"/>
      <c r="D42" s="47"/>
      <c r="E42" s="47"/>
      <c r="F42" s="47"/>
      <c r="G42" s="47"/>
      <c r="H42" s="47"/>
      <c r="I42" s="47"/>
    </row>
    <row r="43" customFormat="false" ht="36" hidden="false" customHeight="true" outlineLevel="0" collapsed="false">
      <c r="A43" s="48" t="s">
        <v>98</v>
      </c>
      <c r="B43" s="49" t="s">
        <v>130</v>
      </c>
      <c r="C43" s="49"/>
      <c r="D43" s="49"/>
      <c r="E43" s="49"/>
      <c r="F43" s="49"/>
      <c r="G43" s="49"/>
      <c r="H43" s="49"/>
      <c r="I43" s="49"/>
    </row>
    <row r="44" customFormat="false" ht="36" hidden="false" customHeight="true" outlineLevel="0" collapsed="false">
      <c r="A44" s="46" t="s">
        <v>99</v>
      </c>
      <c r="B44" s="47" t="s">
        <v>131</v>
      </c>
      <c r="C44" s="47"/>
      <c r="D44" s="47"/>
      <c r="E44" s="47"/>
      <c r="F44" s="47"/>
      <c r="G44" s="47"/>
      <c r="H44" s="47"/>
      <c r="I44" s="47"/>
    </row>
    <row r="45" customFormat="false" ht="36" hidden="false" customHeight="true" outlineLevel="0" collapsed="false">
      <c r="A45" s="48" t="s">
        <v>100</v>
      </c>
      <c r="B45" s="49" t="s">
        <v>132</v>
      </c>
      <c r="C45" s="49"/>
      <c r="D45" s="49"/>
      <c r="E45" s="49"/>
      <c r="F45" s="49"/>
      <c r="G45" s="49"/>
      <c r="H45" s="49"/>
      <c r="I45" s="49"/>
    </row>
    <row r="46" customFormat="false" ht="36" hidden="false" customHeight="true" outlineLevel="0" collapsed="false">
      <c r="A46" s="46" t="s">
        <v>101</v>
      </c>
      <c r="B46" s="47" t="s">
        <v>133</v>
      </c>
      <c r="C46" s="47"/>
      <c r="D46" s="47"/>
      <c r="E46" s="47"/>
      <c r="F46" s="47"/>
      <c r="G46" s="47"/>
      <c r="H46" s="47"/>
      <c r="I46" s="47"/>
    </row>
    <row r="47" customFormat="false" ht="36" hidden="false" customHeight="true" outlineLevel="0" collapsed="false">
      <c r="A47" s="48" t="s">
        <v>102</v>
      </c>
      <c r="B47" s="49" t="s">
        <v>134</v>
      </c>
      <c r="C47" s="49"/>
      <c r="D47" s="49"/>
      <c r="E47" s="49"/>
      <c r="F47" s="49"/>
      <c r="G47" s="49"/>
      <c r="H47" s="49"/>
      <c r="I47" s="49"/>
    </row>
    <row r="48" customFormat="false" ht="21.75" hidden="false" customHeight="true" outlineLevel="0" collapsed="false">
      <c r="A48" s="45" t="s">
        <v>135</v>
      </c>
      <c r="B48" s="45"/>
      <c r="C48" s="45"/>
      <c r="D48" s="45"/>
      <c r="E48" s="45"/>
      <c r="F48" s="45"/>
      <c r="G48" s="45"/>
      <c r="H48" s="45"/>
      <c r="I48" s="45"/>
    </row>
    <row r="49" customFormat="false" ht="36" hidden="false" customHeight="true" outlineLevel="0" collapsed="false">
      <c r="A49" s="46" t="s">
        <v>116</v>
      </c>
      <c r="B49" s="47" t="s">
        <v>136</v>
      </c>
      <c r="C49" s="47"/>
      <c r="D49" s="47"/>
      <c r="E49" s="47"/>
      <c r="F49" s="47"/>
      <c r="G49" s="47"/>
      <c r="H49" s="47"/>
      <c r="I49" s="47"/>
    </row>
    <row r="50" customFormat="false" ht="36" hidden="false" customHeight="true" outlineLevel="0" collapsed="false">
      <c r="A50" s="48" t="s">
        <v>117</v>
      </c>
      <c r="B50" s="49" t="s">
        <v>137</v>
      </c>
      <c r="C50" s="49"/>
      <c r="D50" s="49"/>
      <c r="E50" s="49"/>
      <c r="F50" s="49"/>
      <c r="G50" s="49"/>
      <c r="H50" s="49"/>
      <c r="I50" s="49"/>
    </row>
    <row r="51" customFormat="false" ht="36" hidden="false" customHeight="true" outlineLevel="0" collapsed="false">
      <c r="A51" s="46" t="s">
        <v>94</v>
      </c>
      <c r="B51" s="47" t="s">
        <v>138</v>
      </c>
      <c r="C51" s="47"/>
      <c r="D51" s="47"/>
      <c r="E51" s="47"/>
      <c r="F51" s="47"/>
      <c r="G51" s="47"/>
      <c r="H51" s="47"/>
      <c r="I51" s="47"/>
    </row>
    <row r="52" customFormat="false" ht="36" hidden="false" customHeight="true" outlineLevel="0" collapsed="false">
      <c r="A52" s="48" t="s">
        <v>118</v>
      </c>
      <c r="B52" s="49" t="s">
        <v>139</v>
      </c>
      <c r="C52" s="49"/>
      <c r="D52" s="49"/>
      <c r="E52" s="49"/>
      <c r="F52" s="49"/>
      <c r="G52" s="49"/>
      <c r="H52" s="49"/>
      <c r="I52" s="49"/>
    </row>
    <row r="53" customFormat="false" ht="27.75" hidden="false" customHeight="true" outlineLevel="0" collapsed="false">
      <c r="A53" s="50" t="s">
        <v>140</v>
      </c>
      <c r="B53" s="50"/>
      <c r="C53" s="50"/>
      <c r="D53" s="50"/>
      <c r="E53" s="50"/>
      <c r="F53" s="50"/>
      <c r="G53" s="50"/>
      <c r="H53" s="50"/>
      <c r="I53" s="50"/>
    </row>
  </sheetData>
  <mergeCells count="40">
    <mergeCell ref="A1:I1"/>
    <mergeCell ref="A2:I2"/>
    <mergeCell ref="A4:I4"/>
    <mergeCell ref="A8:I8"/>
    <mergeCell ref="A12:I12"/>
    <mergeCell ref="A15:I15"/>
    <mergeCell ref="A16:D16"/>
    <mergeCell ref="E16:I16"/>
    <mergeCell ref="A17:D17"/>
    <mergeCell ref="E17:I17"/>
    <mergeCell ref="A18:D18"/>
    <mergeCell ref="E18:I18"/>
    <mergeCell ref="A19:D19"/>
    <mergeCell ref="E19:I19"/>
    <mergeCell ref="A20:D20"/>
    <mergeCell ref="E20:I20"/>
    <mergeCell ref="A22:I22"/>
    <mergeCell ref="A24:I24"/>
    <mergeCell ref="A32:I32"/>
    <mergeCell ref="A33:I33"/>
    <mergeCell ref="A34:I34"/>
    <mergeCell ref="B35:I35"/>
    <mergeCell ref="B36:I36"/>
    <mergeCell ref="B37:I37"/>
    <mergeCell ref="B38:I38"/>
    <mergeCell ref="B39:I39"/>
    <mergeCell ref="B40:I40"/>
    <mergeCell ref="A41:I41"/>
    <mergeCell ref="B42:I42"/>
    <mergeCell ref="B43:I43"/>
    <mergeCell ref="B44:I44"/>
    <mergeCell ref="B45:I45"/>
    <mergeCell ref="B46:I46"/>
    <mergeCell ref="B47:I47"/>
    <mergeCell ref="A48:I48"/>
    <mergeCell ref="B49:I49"/>
    <mergeCell ref="B50:I50"/>
    <mergeCell ref="B51:I51"/>
    <mergeCell ref="B52:I52"/>
    <mergeCell ref="A53:I53"/>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&amp;LDashboard</oddHeader>
    <oddFooter>&amp;LIllustrative management model — not a GAAP statement&amp;RPage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4A35A"/>
    <pageSetUpPr fitToPage="true"/>
  </sheetPr>
  <dimension ref="A1:J7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7" min="2" style="1" width="16"/>
    <col collapsed="false" customWidth="true" hidden="false" outlineLevel="0" max="9" min="8" style="1" width="18"/>
    <col collapsed="false" customWidth="true" hidden="false" outlineLevel="0" max="10" min="10" style="1" width="62"/>
  </cols>
  <sheetData>
    <row r="1" customFormat="false" ht="25.5" hidden="false" customHeight="true" outlineLevel="0" collapsed="false">
      <c r="A1" s="26" t="s">
        <v>141</v>
      </c>
      <c r="B1" s="26"/>
      <c r="C1" s="26"/>
      <c r="D1" s="26"/>
      <c r="E1" s="26"/>
      <c r="F1" s="26"/>
      <c r="G1" s="26"/>
      <c r="H1" s="26"/>
      <c r="I1" s="26"/>
      <c r="J1" s="26"/>
    </row>
    <row r="2" customFormat="false" ht="18" hidden="false" customHeight="true" outlineLevel="0" collapsed="false">
      <c r="A2" s="3" t="s">
        <v>142</v>
      </c>
      <c r="B2" s="3"/>
      <c r="C2" s="3"/>
      <c r="D2" s="3"/>
      <c r="E2" s="3"/>
      <c r="F2" s="3"/>
      <c r="G2" s="3"/>
      <c r="H2" s="3"/>
      <c r="I2" s="3"/>
      <c r="J2" s="3"/>
    </row>
    <row r="4" customFormat="false" ht="21.75" hidden="false" customHeight="true" outlineLevel="0" collapsed="false">
      <c r="A4" s="4" t="s">
        <v>143</v>
      </c>
      <c r="B4" s="4"/>
      <c r="C4" s="4"/>
      <c r="D4" s="4"/>
      <c r="E4" s="4"/>
      <c r="F4" s="4"/>
      <c r="G4" s="4"/>
      <c r="H4" s="4"/>
      <c r="I4" s="4"/>
      <c r="J4" s="4"/>
    </row>
    <row r="5" customFormat="false" ht="15" hidden="false" customHeight="true" outlineLevel="0" collapsed="false">
      <c r="A5" s="7" t="s">
        <v>144</v>
      </c>
      <c r="B5" s="51" t="n">
        <v>25000</v>
      </c>
      <c r="C5" s="52" t="s">
        <v>145</v>
      </c>
      <c r="D5" s="52"/>
      <c r="E5" s="52"/>
      <c r="F5" s="52"/>
      <c r="G5" s="52"/>
      <c r="H5" s="52"/>
      <c r="I5" s="52"/>
    </row>
    <row r="6" customFormat="false" ht="15" hidden="false" customHeight="true" outlineLevel="0" collapsed="false">
      <c r="A6" s="7" t="s">
        <v>146</v>
      </c>
      <c r="B6" s="53" t="n">
        <v>18</v>
      </c>
      <c r="C6" s="52" t="s">
        <v>147</v>
      </c>
      <c r="D6" s="52"/>
      <c r="E6" s="52"/>
      <c r="F6" s="52"/>
      <c r="G6" s="52"/>
      <c r="H6" s="52"/>
      <c r="I6" s="52"/>
    </row>
    <row r="7" customFormat="false" ht="15" hidden="false" customHeight="true" outlineLevel="0" collapsed="false">
      <c r="A7" s="7" t="s">
        <v>148</v>
      </c>
      <c r="B7" s="54" t="n">
        <v>0.92</v>
      </c>
      <c r="C7" s="52" t="s">
        <v>149</v>
      </c>
      <c r="D7" s="52"/>
      <c r="E7" s="52"/>
      <c r="F7" s="52"/>
      <c r="G7" s="52"/>
      <c r="H7" s="52"/>
      <c r="I7" s="52"/>
    </row>
    <row r="8" customFormat="false" ht="15" hidden="false" customHeight="true" outlineLevel="0" collapsed="false">
      <c r="A8" s="55" t="s">
        <v>150</v>
      </c>
      <c r="B8" s="56" t="n">
        <f aca="false">B5*B6</f>
        <v>450000</v>
      </c>
      <c r="C8" s="57" t="s">
        <v>151</v>
      </c>
    </row>
    <row r="9" customFormat="false" ht="15" hidden="false" customHeight="true" outlineLevel="0" collapsed="false">
      <c r="A9" s="55" t="s">
        <v>152</v>
      </c>
      <c r="B9" s="56" t="n">
        <f aca="false">B8*B7</f>
        <v>414000</v>
      </c>
      <c r="C9" s="57" t="s">
        <v>153</v>
      </c>
    </row>
    <row r="10" customFormat="false" ht="15" hidden="false" customHeight="true" outlineLevel="0" collapsed="false">
      <c r="A10" s="55" t="s">
        <v>154</v>
      </c>
      <c r="B10" s="56" t="n">
        <f aca="false">B8-B9</f>
        <v>36000</v>
      </c>
      <c r="C10" s="57" t="s">
        <v>155</v>
      </c>
    </row>
    <row r="12" customFormat="false" ht="21.75" hidden="false" customHeight="true" outlineLevel="0" collapsed="false">
      <c r="A12" s="4" t="s">
        <v>156</v>
      </c>
      <c r="B12" s="4"/>
      <c r="C12" s="4"/>
      <c r="D12" s="4"/>
      <c r="E12" s="4"/>
      <c r="F12" s="4"/>
      <c r="G12" s="4"/>
      <c r="H12" s="4"/>
      <c r="I12" s="4"/>
      <c r="J12" s="4"/>
    </row>
    <row r="13" customFormat="false" ht="15" hidden="false" customHeight="true" outlineLevel="0" collapsed="false">
      <c r="A13" s="55" t="s">
        <v>157</v>
      </c>
      <c r="B13" s="58" t="n">
        <v>24</v>
      </c>
      <c r="C13" s="57" t="s">
        <v>158</v>
      </c>
    </row>
    <row r="14" customFormat="false" ht="15" hidden="false" customHeight="true" outlineLevel="0" collapsed="false">
      <c r="A14" s="55" t="s">
        <v>159</v>
      </c>
      <c r="B14" s="58" t="n">
        <v>0</v>
      </c>
      <c r="C14" s="57" t="s">
        <v>160</v>
      </c>
    </row>
    <row r="15" customFormat="false" ht="15" hidden="false" customHeight="true" outlineLevel="0" collapsed="false">
      <c r="A15" s="55" t="s">
        <v>161</v>
      </c>
      <c r="B15" s="59" t="s">
        <v>162</v>
      </c>
      <c r="C15" s="57" t="s">
        <v>163</v>
      </c>
    </row>
    <row r="16" customFormat="false" ht="15" hidden="false" customHeight="true" outlineLevel="0" collapsed="false">
      <c r="A16" s="55" t="s">
        <v>164</v>
      </c>
      <c r="B16" s="60" t="n">
        <f aca="false">B5*B13</f>
        <v>600000</v>
      </c>
    </row>
    <row r="17" customFormat="false" ht="15" hidden="false" customHeight="true" outlineLevel="0" collapsed="false">
      <c r="A17" s="55" t="s">
        <v>165</v>
      </c>
      <c r="B17" s="60" t="n">
        <f aca="false">B9*B14</f>
        <v>0</v>
      </c>
    </row>
    <row r="18" customFormat="false" ht="15" hidden="false" customHeight="true" outlineLevel="0" collapsed="false">
      <c r="A18" s="55" t="s">
        <v>166</v>
      </c>
      <c r="B18" s="60" t="n">
        <f aca="false">B16+B17</f>
        <v>600000</v>
      </c>
    </row>
    <row r="20" customFormat="false" ht="21.75" hidden="false" customHeight="true" outlineLevel="0" collapsed="false">
      <c r="A20" s="4" t="s">
        <v>167</v>
      </c>
      <c r="B20" s="4"/>
      <c r="C20" s="4"/>
      <c r="D20" s="4"/>
      <c r="E20" s="4"/>
      <c r="F20" s="4"/>
      <c r="G20" s="4"/>
      <c r="H20" s="4"/>
      <c r="I20" s="4"/>
      <c r="J20" s="4"/>
    </row>
    <row r="21" customFormat="false" ht="21.75" hidden="false" customHeight="true" outlineLevel="0" collapsed="false">
      <c r="A21" s="24" t="s">
        <v>168</v>
      </c>
      <c r="B21" s="24"/>
      <c r="C21" s="24"/>
      <c r="D21" s="24"/>
      <c r="E21" s="24"/>
      <c r="F21" s="24"/>
      <c r="G21" s="24"/>
      <c r="H21" s="24"/>
      <c r="I21" s="24"/>
      <c r="J21" s="24"/>
    </row>
    <row r="22" customFormat="false" ht="15" hidden="false" customHeight="true" outlineLevel="0" collapsed="false">
      <c r="A22" s="55" t="s">
        <v>169</v>
      </c>
      <c r="B22" s="58" t="n">
        <v>0.45</v>
      </c>
    </row>
    <row r="23" customFormat="false" ht="15" hidden="false" customHeight="true" outlineLevel="0" collapsed="false">
      <c r="A23" s="55" t="s">
        <v>170</v>
      </c>
      <c r="B23" s="58" t="n">
        <v>0.12</v>
      </c>
    </row>
    <row r="24" customFormat="false" ht="15" hidden="false" customHeight="true" outlineLevel="0" collapsed="false">
      <c r="A24" s="55" t="s">
        <v>171</v>
      </c>
      <c r="B24" s="58" t="n">
        <v>0.08</v>
      </c>
    </row>
    <row r="25" customFormat="false" ht="15" hidden="false" customHeight="true" outlineLevel="0" collapsed="false">
      <c r="A25" s="55" t="s">
        <v>172</v>
      </c>
      <c r="B25" s="60" t="n">
        <f aca="false">B22+B23+B24</f>
        <v>0.65</v>
      </c>
    </row>
    <row r="26" customFormat="false" ht="15" hidden="false" customHeight="true" outlineLevel="0" collapsed="false">
      <c r="A26" s="55" t="s">
        <v>173</v>
      </c>
      <c r="B26" s="60" t="n">
        <f aca="false">B9*B22</f>
        <v>186300</v>
      </c>
    </row>
    <row r="27" customFormat="false" ht="15" hidden="false" customHeight="true" outlineLevel="0" collapsed="false">
      <c r="A27" s="55" t="s">
        <v>174</v>
      </c>
      <c r="B27" s="60" t="n">
        <f aca="false">B9*B23</f>
        <v>49680</v>
      </c>
    </row>
    <row r="28" customFormat="false" ht="15" hidden="false" customHeight="true" outlineLevel="0" collapsed="false">
      <c r="A28" s="55" t="s">
        <v>175</v>
      </c>
      <c r="B28" s="60" t="n">
        <f aca="false">B9*B24</f>
        <v>33120</v>
      </c>
    </row>
    <row r="29" customFormat="false" ht="15" hidden="false" customHeight="true" outlineLevel="0" collapsed="false">
      <c r="A29" s="55" t="s">
        <v>176</v>
      </c>
      <c r="B29" s="60" t="n">
        <f aca="false">B26+B27+B28</f>
        <v>269100</v>
      </c>
    </row>
    <row r="31" customFormat="false" ht="21.75" hidden="false" customHeight="true" outlineLevel="0" collapsed="false">
      <c r="A31" s="4" t="s">
        <v>177</v>
      </c>
      <c r="B31" s="4"/>
      <c r="C31" s="4"/>
      <c r="D31" s="4"/>
      <c r="E31" s="4"/>
      <c r="F31" s="4"/>
      <c r="G31" s="4"/>
      <c r="H31" s="4"/>
      <c r="I31" s="4"/>
      <c r="J31" s="4"/>
    </row>
    <row r="32" customFormat="false" ht="15" hidden="false" customHeight="true" outlineLevel="0" collapsed="false">
      <c r="A32" s="55" t="s">
        <v>178</v>
      </c>
      <c r="B32" s="58" t="n">
        <v>0.06</v>
      </c>
    </row>
    <row r="33" customFormat="false" ht="15" hidden="false" customHeight="true" outlineLevel="0" collapsed="false">
      <c r="A33" s="55" t="s">
        <v>179</v>
      </c>
      <c r="B33" s="58" t="n">
        <v>0.02</v>
      </c>
    </row>
    <row r="34" customFormat="false" ht="15" hidden="false" customHeight="true" outlineLevel="0" collapsed="false">
      <c r="A34" s="55" t="s">
        <v>180</v>
      </c>
      <c r="B34" s="58" t="n">
        <v>1.8</v>
      </c>
    </row>
    <row r="35" customFormat="false" ht="15" hidden="false" customHeight="true" outlineLevel="0" collapsed="false">
      <c r="A35" s="55" t="s">
        <v>181</v>
      </c>
      <c r="B35" s="61" t="n">
        <v>85000</v>
      </c>
    </row>
    <row r="36" customFormat="false" ht="15" hidden="false" customHeight="true" outlineLevel="0" collapsed="false">
      <c r="A36" s="55" t="s">
        <v>182</v>
      </c>
      <c r="B36" s="60" t="n">
        <f aca="false">B9*B32+B10*B33</f>
        <v>25560</v>
      </c>
    </row>
    <row r="37" customFormat="false" ht="15" hidden="false" customHeight="true" outlineLevel="0" collapsed="false">
      <c r="A37" s="55" t="s">
        <v>183</v>
      </c>
      <c r="B37" s="60" t="n">
        <f aca="false">B5*B34</f>
        <v>45000</v>
      </c>
    </row>
    <row r="39" customFormat="false" ht="21.75" hidden="false" customHeight="true" outlineLevel="0" collapsed="false">
      <c r="A39" s="4" t="s">
        <v>184</v>
      </c>
      <c r="B39" s="4"/>
      <c r="C39" s="4"/>
      <c r="D39" s="4"/>
      <c r="E39" s="4"/>
      <c r="F39" s="4"/>
      <c r="G39" s="4"/>
      <c r="H39" s="4"/>
      <c r="I39" s="4"/>
      <c r="J39" s="4"/>
    </row>
    <row r="40" customFormat="false" ht="27.75" hidden="false" customHeight="true" outlineLevel="0" collapsed="false">
      <c r="A40" s="5" t="s">
        <v>185</v>
      </c>
      <c r="B40" s="5"/>
      <c r="C40" s="5"/>
      <c r="D40" s="5"/>
      <c r="E40" s="5"/>
      <c r="F40" s="5"/>
      <c r="G40" s="5"/>
      <c r="H40" s="5"/>
      <c r="I40" s="5"/>
      <c r="J40" s="5"/>
    </row>
    <row r="41" customFormat="false" ht="27.75" hidden="false" customHeight="true" outlineLevel="0" collapsed="false">
      <c r="A41" s="19" t="s">
        <v>116</v>
      </c>
      <c r="B41" s="19" t="s">
        <v>186</v>
      </c>
      <c r="C41" s="19" t="s">
        <v>187</v>
      </c>
      <c r="D41" s="19" t="s">
        <v>188</v>
      </c>
      <c r="E41" s="19" t="s">
        <v>189</v>
      </c>
      <c r="F41" s="19" t="s">
        <v>190</v>
      </c>
      <c r="G41" s="19" t="s">
        <v>191</v>
      </c>
      <c r="H41" s="19" t="s">
        <v>192</v>
      </c>
      <c r="I41" s="19" t="s">
        <v>193</v>
      </c>
      <c r="J41" s="19" t="s">
        <v>194</v>
      </c>
    </row>
    <row r="42" customFormat="false" ht="25.5" hidden="false" customHeight="true" outlineLevel="0" collapsed="false">
      <c r="A42" s="62" t="s">
        <v>195</v>
      </c>
      <c r="B42" s="63" t="n">
        <f aca="false">B5</f>
        <v>25000</v>
      </c>
      <c r="C42" s="64" t="n">
        <f aca="false">B6</f>
        <v>18</v>
      </c>
      <c r="D42" s="41" t="n">
        <f aca="false">B7</f>
        <v>0.92</v>
      </c>
      <c r="E42" s="53" t="n">
        <v>1</v>
      </c>
      <c r="F42" s="53" t="n">
        <v>1</v>
      </c>
      <c r="G42" s="54" t="n">
        <v>0</v>
      </c>
      <c r="H42" s="65" t="n">
        <f aca="false">B13</f>
        <v>24</v>
      </c>
      <c r="I42" s="66" t="s">
        <v>196</v>
      </c>
      <c r="J42" s="57" t="s">
        <v>197</v>
      </c>
    </row>
    <row r="43" customFormat="false" ht="25.5" hidden="false" customHeight="true" outlineLevel="0" collapsed="false">
      <c r="A43" s="46" t="s">
        <v>198</v>
      </c>
      <c r="B43" s="51" t="n">
        <v>75000</v>
      </c>
      <c r="C43" s="53" t="n">
        <v>20</v>
      </c>
      <c r="D43" s="54" t="n">
        <v>0.93</v>
      </c>
      <c r="E43" s="53" t="n">
        <v>0.95</v>
      </c>
      <c r="F43" s="53" t="n">
        <v>1</v>
      </c>
      <c r="G43" s="54" t="n">
        <v>0.05</v>
      </c>
      <c r="H43" s="65" t="n">
        <f aca="false">B13</f>
        <v>24</v>
      </c>
      <c r="I43" s="66" t="s">
        <v>199</v>
      </c>
    </row>
    <row r="44" customFormat="false" ht="25.5" hidden="false" customHeight="true" outlineLevel="0" collapsed="false">
      <c r="A44" s="46" t="s">
        <v>200</v>
      </c>
      <c r="B44" s="51" t="n">
        <v>25000</v>
      </c>
      <c r="C44" s="53" t="n">
        <v>32</v>
      </c>
      <c r="D44" s="54" t="n">
        <v>0.9</v>
      </c>
      <c r="E44" s="53" t="n">
        <v>1</v>
      </c>
      <c r="F44" s="53" t="n">
        <v>1.25</v>
      </c>
      <c r="G44" s="54" t="n">
        <v>-0.05</v>
      </c>
      <c r="H44" s="65" t="n">
        <f aca="false">B13</f>
        <v>24</v>
      </c>
      <c r="I44" s="66" t="s">
        <v>201</v>
      </c>
    </row>
    <row r="45" customFormat="false" ht="25.5" hidden="false" customHeight="true" outlineLevel="0" collapsed="false">
      <c r="A45" s="46" t="s">
        <v>202</v>
      </c>
      <c r="B45" s="51" t="n">
        <v>25000</v>
      </c>
      <c r="C45" s="64" t="n">
        <f aca="false">B6</f>
        <v>18</v>
      </c>
      <c r="D45" s="41" t="n">
        <f aca="false">B7</f>
        <v>0.92</v>
      </c>
      <c r="E45" s="53" t="n">
        <v>1.25</v>
      </c>
      <c r="F45" s="53" t="n">
        <v>1</v>
      </c>
      <c r="G45" s="54" t="n">
        <v>0</v>
      </c>
      <c r="H45" s="65" t="n">
        <f aca="false">B13</f>
        <v>24</v>
      </c>
      <c r="I45" s="66" t="s">
        <v>203</v>
      </c>
    </row>
    <row r="46" customFormat="false" ht="25.5" hidden="false" customHeight="true" outlineLevel="0" collapsed="false">
      <c r="A46" s="46" t="s">
        <v>204</v>
      </c>
      <c r="B46" s="51" t="n">
        <v>25000</v>
      </c>
      <c r="C46" s="64" t="n">
        <f aca="false">B6</f>
        <v>18</v>
      </c>
      <c r="D46" s="54" t="n">
        <v>0.95</v>
      </c>
      <c r="E46" s="53" t="n">
        <v>0.95</v>
      </c>
      <c r="F46" s="53" t="n">
        <v>0.75</v>
      </c>
      <c r="G46" s="54" t="n">
        <v>0.15</v>
      </c>
      <c r="H46" s="65" t="n">
        <f aca="false">B13</f>
        <v>24</v>
      </c>
      <c r="I46" s="66" t="s">
        <v>205</v>
      </c>
    </row>
    <row r="48" customFormat="false" ht="21.75" hidden="false" customHeight="true" outlineLevel="0" collapsed="false">
      <c r="A48" s="4" t="s">
        <v>206</v>
      </c>
      <c r="B48" s="4"/>
      <c r="C48" s="4"/>
      <c r="D48" s="4"/>
      <c r="E48" s="4"/>
      <c r="F48" s="4"/>
      <c r="G48" s="4"/>
      <c r="H48" s="4"/>
      <c r="I48" s="4"/>
      <c r="J48" s="4"/>
    </row>
    <row r="49" customFormat="false" ht="27.75" hidden="false" customHeight="true" outlineLevel="0" collapsed="false">
      <c r="A49" s="24" t="s">
        <v>207</v>
      </c>
      <c r="B49" s="24"/>
      <c r="C49" s="24"/>
      <c r="D49" s="24"/>
      <c r="E49" s="24"/>
      <c r="F49" s="24"/>
      <c r="G49" s="24"/>
      <c r="H49" s="24"/>
      <c r="I49" s="24"/>
      <c r="J49" s="24"/>
    </row>
    <row r="50" customFormat="false" ht="15" hidden="false" customHeight="true" outlineLevel="0" collapsed="false">
      <c r="A50" s="55" t="s">
        <v>208</v>
      </c>
      <c r="B50" s="58" t="n">
        <v>100</v>
      </c>
    </row>
    <row r="51" customFormat="false" ht="15" hidden="false" customHeight="true" outlineLevel="0" collapsed="false">
      <c r="A51" s="55" t="s">
        <v>209</v>
      </c>
      <c r="B51" s="67" t="n">
        <v>0.002</v>
      </c>
    </row>
    <row r="52" customFormat="false" ht="15" hidden="false" customHeight="true" outlineLevel="0" collapsed="false">
      <c r="A52" s="55" t="s">
        <v>210</v>
      </c>
      <c r="B52" s="51" t="n">
        <v>10000</v>
      </c>
    </row>
    <row r="53" customFormat="false" ht="15" hidden="false" customHeight="true" outlineLevel="0" collapsed="false">
      <c r="A53" s="55" t="s">
        <v>211</v>
      </c>
      <c r="B53" s="51" t="n">
        <v>50000</v>
      </c>
    </row>
    <row r="54" customFormat="false" ht="15" hidden="false" customHeight="true" outlineLevel="0" collapsed="false">
      <c r="A54" s="55" t="s">
        <v>212</v>
      </c>
      <c r="B54" s="51" t="n">
        <v>100000</v>
      </c>
    </row>
    <row r="55" customFormat="false" ht="15" hidden="false" customHeight="true" outlineLevel="0" collapsed="false">
      <c r="A55" s="55" t="s">
        <v>213</v>
      </c>
      <c r="B55" s="51" t="n">
        <v>0</v>
      </c>
    </row>
    <row r="56" customFormat="false" ht="15" hidden="false" customHeight="true" outlineLevel="0" collapsed="false">
      <c r="A56" s="55" t="s">
        <v>214</v>
      </c>
      <c r="B56" s="51" t="n">
        <v>5000</v>
      </c>
    </row>
    <row r="57" customFormat="false" ht="15" hidden="false" customHeight="true" outlineLevel="0" collapsed="false">
      <c r="A57" s="55" t="s">
        <v>215</v>
      </c>
      <c r="B57" s="56" t="n">
        <f aca="false">IF(B51=0,0,B50/B51)</f>
        <v>50000</v>
      </c>
      <c r="C57" s="57" t="s">
        <v>216</v>
      </c>
    </row>
    <row r="59" customFormat="false" ht="21.75" hidden="false" customHeight="true" outlineLevel="0" collapsed="false">
      <c r="A59" s="4" t="s">
        <v>217</v>
      </c>
      <c r="B59" s="4"/>
      <c r="C59" s="4"/>
      <c r="D59" s="4"/>
      <c r="E59" s="4"/>
      <c r="F59" s="4"/>
      <c r="G59" s="4"/>
      <c r="H59" s="4"/>
      <c r="I59" s="4"/>
      <c r="J59" s="4"/>
    </row>
    <row r="60" customFormat="false" ht="15" hidden="false" customHeight="true" outlineLevel="0" collapsed="false">
      <c r="A60" s="55" t="s">
        <v>218</v>
      </c>
      <c r="B60" s="51" t="n">
        <v>120</v>
      </c>
    </row>
    <row r="61" customFormat="false" ht="15" hidden="false" customHeight="true" outlineLevel="0" collapsed="false">
      <c r="A61" s="55" t="s">
        <v>219</v>
      </c>
      <c r="B61" s="53" t="n">
        <v>90</v>
      </c>
    </row>
    <row r="62" customFormat="false" ht="15" hidden="false" customHeight="true" outlineLevel="0" collapsed="false">
      <c r="A62" s="55" t="s">
        <v>220</v>
      </c>
      <c r="B62" s="53" t="n">
        <v>10</v>
      </c>
    </row>
    <row r="63" customFormat="false" ht="15" hidden="false" customHeight="true" outlineLevel="0" collapsed="false">
      <c r="A63" s="55" t="s">
        <v>221</v>
      </c>
      <c r="B63" s="58" t="n">
        <v>18</v>
      </c>
    </row>
    <row r="64" customFormat="false" ht="15" hidden="false" customHeight="true" outlineLevel="0" collapsed="false">
      <c r="A64" s="55" t="s">
        <v>222</v>
      </c>
      <c r="B64" s="58" t="n">
        <v>5.25</v>
      </c>
    </row>
    <row r="65" customFormat="false" ht="15" hidden="false" customHeight="true" outlineLevel="0" collapsed="false">
      <c r="A65" s="55" t="s">
        <v>223</v>
      </c>
      <c r="B65" s="58" t="n">
        <v>1.8</v>
      </c>
    </row>
    <row r="66" customFormat="false" ht="15" hidden="false" customHeight="true" outlineLevel="0" collapsed="false">
      <c r="A66" s="55" t="s">
        <v>224</v>
      </c>
      <c r="B66" s="58" t="n">
        <v>95</v>
      </c>
    </row>
    <row r="67" customFormat="false" ht="15" hidden="false" customHeight="true" outlineLevel="0" collapsed="false">
      <c r="A67" s="55" t="s">
        <v>225</v>
      </c>
      <c r="B67" s="61" t="n">
        <v>18000</v>
      </c>
    </row>
    <row r="68" customFormat="false" ht="15" hidden="false" customHeight="true" outlineLevel="0" collapsed="false">
      <c r="A68" s="55" t="s">
        <v>226</v>
      </c>
      <c r="B68" s="61" t="n">
        <v>22000</v>
      </c>
    </row>
    <row r="69" customFormat="false" ht="15" hidden="false" customHeight="true" outlineLevel="0" collapsed="false">
      <c r="A69" s="55" t="s">
        <v>227</v>
      </c>
      <c r="B69" s="53" t="n">
        <v>400</v>
      </c>
    </row>
    <row r="71" customFormat="false" ht="19.5" hidden="false" customHeight="true" outlineLevel="0" collapsed="false">
      <c r="A71" s="25" t="s">
        <v>228</v>
      </c>
      <c r="B71" s="25"/>
      <c r="C71" s="25"/>
      <c r="D71" s="25"/>
      <c r="E71" s="25"/>
      <c r="F71" s="25"/>
      <c r="G71" s="25"/>
      <c r="H71" s="25"/>
      <c r="I71" s="25"/>
      <c r="J71" s="25"/>
    </row>
  </sheetData>
  <mergeCells count="16">
    <mergeCell ref="A1:J1"/>
    <mergeCell ref="A2:J2"/>
    <mergeCell ref="A4:J4"/>
    <mergeCell ref="C5:I5"/>
    <mergeCell ref="C6:I6"/>
    <mergeCell ref="C7:I7"/>
    <mergeCell ref="A12:J12"/>
    <mergeCell ref="A20:J20"/>
    <mergeCell ref="A21:J21"/>
    <mergeCell ref="A31:J31"/>
    <mergeCell ref="A39:J39"/>
    <mergeCell ref="A40:J40"/>
    <mergeCell ref="A48:J48"/>
    <mergeCell ref="A49:J49"/>
    <mergeCell ref="A59:J59"/>
    <mergeCell ref="A71:J71"/>
  </mergeCells>
  <dataValidations count="1">
    <dataValidation allowBlank="false" error="Choose Yes or No" errorStyle="stop" operator="between" prompt="Yes adds attributed value into GM revenue. Prefer No." showDropDown="false" showErrorMessage="false" showInputMessage="false" sqref="B15" type="list">
      <formula1>"No,Yes"</formula1>
      <formula2>0</formula2>
    </dataValidation>
  </dataValidation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&amp;LAssumptions</oddHeader>
    <oddFooter>&amp;LIllustrative management model — not a GAAP statement&amp;RPage &amp;P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D5A80"/>
    <pageSetUpPr fitToPage="true"/>
  </sheetPr>
  <dimension ref="A1:K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20"/>
    <col collapsed="false" customWidth="true" hidden="false" outlineLevel="0" max="3" min="3" style="1" width="12"/>
    <col collapsed="false" customWidth="true" hidden="false" outlineLevel="0" max="4" min="4" style="1" width="20"/>
    <col collapsed="false" customWidth="true" hidden="false" outlineLevel="0" max="7" min="5" style="1" width="16"/>
    <col collapsed="false" customWidth="true" hidden="false" outlineLevel="0" max="8" min="8" style="1" width="12"/>
    <col collapsed="false" customWidth="true" hidden="false" outlineLevel="0" max="9" min="9" style="1" width="16"/>
    <col collapsed="false" customWidth="true" hidden="false" outlineLevel="0" max="10" min="10" style="1" width="18"/>
    <col collapsed="false" customWidth="true" hidden="false" outlineLevel="0" max="11" min="11" style="1" width="42"/>
    <col collapsed="false" customWidth="true" hidden="false" outlineLevel="0" max="12" min="12" style="1" width="18"/>
  </cols>
  <sheetData>
    <row r="1" customFormat="false" ht="25.5" hidden="false" customHeight="true" outlineLevel="0" collapsed="false">
      <c r="A1" s="26" t="s">
        <v>229</v>
      </c>
      <c r="B1" s="26"/>
      <c r="C1" s="26"/>
      <c r="D1" s="26"/>
      <c r="E1" s="26"/>
      <c r="F1" s="26"/>
      <c r="G1" s="26"/>
      <c r="H1" s="26"/>
      <c r="I1" s="26"/>
      <c r="J1" s="26"/>
      <c r="K1" s="26"/>
    </row>
    <row r="2" customFormat="false" ht="15" hidden="false" customHeight="true" outlineLevel="0" collapsed="false">
      <c r="A2" s="3" t="s">
        <v>230</v>
      </c>
      <c r="B2" s="3"/>
      <c r="C2" s="3"/>
      <c r="D2" s="3"/>
      <c r="E2" s="3"/>
      <c r="F2" s="3"/>
      <c r="G2" s="3"/>
      <c r="H2" s="3"/>
      <c r="I2" s="3"/>
      <c r="J2" s="3"/>
      <c r="K2" s="3"/>
    </row>
    <row r="4" customFormat="false" ht="21.75" hidden="false" customHeight="true" outlineLevel="0" collapsed="false">
      <c r="A4" s="4" t="s">
        <v>231</v>
      </c>
      <c r="B4" s="4"/>
      <c r="C4" s="4"/>
      <c r="D4" s="4"/>
      <c r="E4" s="4"/>
      <c r="F4" s="4"/>
      <c r="G4" s="4"/>
      <c r="H4" s="4"/>
      <c r="I4" s="4"/>
      <c r="J4" s="4"/>
      <c r="K4" s="4"/>
    </row>
    <row r="5" customFormat="false" ht="27.75" hidden="false" customHeight="true" outlineLevel="0" collapsed="false">
      <c r="A5" s="19" t="s">
        <v>232</v>
      </c>
      <c r="B5" s="19" t="s">
        <v>233</v>
      </c>
      <c r="C5" s="19" t="s">
        <v>42</v>
      </c>
      <c r="D5" s="19" t="s">
        <v>234</v>
      </c>
      <c r="E5" s="19" t="s">
        <v>235</v>
      </c>
      <c r="F5" s="19" t="s">
        <v>236</v>
      </c>
      <c r="G5" s="19" t="s">
        <v>237</v>
      </c>
      <c r="H5" s="19" t="s">
        <v>238</v>
      </c>
      <c r="I5" s="19" t="s">
        <v>239</v>
      </c>
      <c r="J5" s="19" t="s">
        <v>240</v>
      </c>
      <c r="K5" s="19" t="s">
        <v>193</v>
      </c>
    </row>
    <row r="6" customFormat="false" ht="31.5" hidden="false" customHeight="true" outlineLevel="0" collapsed="false">
      <c r="A6" s="8" t="s">
        <v>241</v>
      </c>
      <c r="B6" s="8" t="s">
        <v>242</v>
      </c>
      <c r="C6" s="8" t="s">
        <v>243</v>
      </c>
      <c r="D6" s="8" t="s">
        <v>244</v>
      </c>
      <c r="E6" s="68" t="n">
        <v>0.004</v>
      </c>
      <c r="F6" s="58" t="n">
        <v>0</v>
      </c>
      <c r="G6" s="51" t="n">
        <v>10000</v>
      </c>
      <c r="H6" s="59" t="s">
        <v>245</v>
      </c>
      <c r="I6" s="69" t="s">
        <v>246</v>
      </c>
      <c r="J6" s="70" t="str">
        <f aca="false">IF(AND(F6=0,G6=0),"Variable",IF(F6&gt;0,"Variable + fixed","Variable + free allowance"))</f>
        <v>Variable + free allowance</v>
      </c>
      <c r="K6" s="66" t="s">
        <v>247</v>
      </c>
    </row>
    <row r="7" customFormat="false" ht="31.5" hidden="false" customHeight="true" outlineLevel="0" collapsed="false">
      <c r="A7" s="8" t="s">
        <v>248</v>
      </c>
      <c r="B7" s="8" t="s">
        <v>249</v>
      </c>
      <c r="C7" s="8" t="s">
        <v>243</v>
      </c>
      <c r="D7" s="8" t="s">
        <v>250</v>
      </c>
      <c r="E7" s="68" t="n">
        <v>0.18</v>
      </c>
      <c r="F7" s="58" t="n">
        <v>500</v>
      </c>
      <c r="G7" s="51" t="n">
        <v>0</v>
      </c>
      <c r="H7" s="59" t="s">
        <v>162</v>
      </c>
      <c r="I7" s="69" t="s">
        <v>251</v>
      </c>
      <c r="J7" s="70" t="str">
        <f aca="false">IF(AND(F7=0,G7=0),"Variable",IF(F7&gt;0,"Variable + fixed","Variable + free allowance"))</f>
        <v>Variable + fixed</v>
      </c>
      <c r="K7" s="66" t="s">
        <v>252</v>
      </c>
    </row>
    <row r="8" customFormat="false" ht="31.5" hidden="false" customHeight="true" outlineLevel="0" collapsed="false">
      <c r="A8" s="8" t="s">
        <v>253</v>
      </c>
      <c r="B8" s="8" t="s">
        <v>254</v>
      </c>
      <c r="C8" s="8" t="s">
        <v>243</v>
      </c>
      <c r="D8" s="8" t="s">
        <v>255</v>
      </c>
      <c r="E8" s="68" t="n">
        <v>0.012</v>
      </c>
      <c r="F8" s="58" t="n">
        <v>0</v>
      </c>
      <c r="G8" s="51" t="n">
        <v>0</v>
      </c>
      <c r="H8" s="59" t="s">
        <v>162</v>
      </c>
      <c r="I8" s="69" t="s">
        <v>256</v>
      </c>
      <c r="J8" s="70" t="str">
        <f aca="false">IF(AND(F8=0,G8=0),"Variable",IF(F8&gt;0,"Variable + fixed","Variable + free allowance"))</f>
        <v>Variable</v>
      </c>
      <c r="K8" s="66" t="s">
        <v>257</v>
      </c>
    </row>
    <row r="9" customFormat="false" ht="31.5" hidden="false" customHeight="true" outlineLevel="0" collapsed="false">
      <c r="A9" s="8" t="s">
        <v>258</v>
      </c>
      <c r="B9" s="8" t="s">
        <v>259</v>
      </c>
      <c r="C9" s="8" t="s">
        <v>243</v>
      </c>
      <c r="D9" s="8" t="s">
        <v>260</v>
      </c>
      <c r="E9" s="68" t="n">
        <v>0.008</v>
      </c>
      <c r="F9" s="58" t="n">
        <v>100</v>
      </c>
      <c r="G9" s="51" t="n">
        <v>5000</v>
      </c>
      <c r="H9" s="59" t="s">
        <v>162</v>
      </c>
      <c r="I9" s="69" t="s">
        <v>261</v>
      </c>
      <c r="J9" s="70" t="str">
        <f aca="false">IF(AND(F9=0,G9=0),"Variable",IF(F9&gt;0,"Variable + fixed","Variable + free allowance"))</f>
        <v>Variable + fixed</v>
      </c>
      <c r="K9" s="66" t="s">
        <v>262</v>
      </c>
    </row>
    <row r="10" customFormat="false" ht="15" hidden="false" customHeight="true" outlineLevel="0" collapsed="false">
      <c r="A10" s="71" t="s">
        <v>263</v>
      </c>
      <c r="B10" s="71"/>
      <c r="C10" s="71"/>
      <c r="D10" s="71"/>
      <c r="E10" s="71"/>
      <c r="F10" s="60" t="n">
        <f aca="false">SUM(F6:F9)</f>
        <v>600</v>
      </c>
    </row>
    <row r="12" customFormat="false" ht="31.5" hidden="false" customHeight="true" outlineLevel="0" collapsed="false">
      <c r="A12" s="5" t="s">
        <v>264</v>
      </c>
      <c r="B12" s="5"/>
      <c r="C12" s="5"/>
      <c r="D12" s="5"/>
      <c r="E12" s="5"/>
      <c r="F12" s="5"/>
      <c r="G12" s="5"/>
      <c r="H12" s="5"/>
      <c r="I12" s="5"/>
      <c r="J12" s="5"/>
      <c r="K12" s="5"/>
    </row>
    <row r="14" customFormat="false" ht="21.75" hidden="false" customHeight="true" outlineLevel="0" collapsed="false">
      <c r="A14" s="4" t="s">
        <v>265</v>
      </c>
      <c r="B14" s="4"/>
      <c r="C14" s="4"/>
      <c r="D14" s="4"/>
      <c r="E14" s="4"/>
      <c r="F14" s="4"/>
      <c r="G14" s="4"/>
      <c r="H14" s="4"/>
      <c r="I14" s="4"/>
      <c r="J14" s="4"/>
      <c r="K14" s="4"/>
    </row>
    <row r="15" customFormat="false" ht="27.75" hidden="false" customHeight="true" outlineLevel="0" collapsed="false">
      <c r="A15" s="19" t="s">
        <v>232</v>
      </c>
      <c r="B15" s="19" t="s">
        <v>233</v>
      </c>
      <c r="C15" s="19" t="s">
        <v>42</v>
      </c>
      <c r="D15" s="19" t="s">
        <v>234</v>
      </c>
      <c r="E15" s="19" t="s">
        <v>266</v>
      </c>
      <c r="F15" s="19" t="s">
        <v>236</v>
      </c>
      <c r="G15" s="19" t="s">
        <v>237</v>
      </c>
      <c r="H15" s="19" t="s">
        <v>238</v>
      </c>
      <c r="I15" s="19" t="s">
        <v>239</v>
      </c>
      <c r="J15" s="19" t="s">
        <v>240</v>
      </c>
      <c r="K15" s="19" t="s">
        <v>193</v>
      </c>
    </row>
    <row r="16" customFormat="false" ht="15" hidden="false" customHeight="true" outlineLevel="0" collapsed="false">
      <c r="A16" s="69" t="s">
        <v>267</v>
      </c>
      <c r="B16" s="69" t="s">
        <v>268</v>
      </c>
      <c r="C16" s="69" t="s">
        <v>27</v>
      </c>
      <c r="D16" s="69" t="s">
        <v>269</v>
      </c>
      <c r="E16" s="65" t="n">
        <f aca="false">Assumptions!B63</f>
        <v>18</v>
      </c>
      <c r="F16" s="72" t="s">
        <v>270</v>
      </c>
      <c r="G16" s="73" t="n">
        <f aca="false">Assumptions!B62</f>
        <v>10</v>
      </c>
      <c r="H16" s="21" t="s">
        <v>271</v>
      </c>
      <c r="I16" s="74" t="s">
        <v>272</v>
      </c>
      <c r="J16" s="74" t="s">
        <v>273</v>
      </c>
      <c r="K16" s="21" t="s">
        <v>274</v>
      </c>
    </row>
    <row r="18" customFormat="false" ht="21.75" hidden="false" customHeight="true" outlineLevel="0" collapsed="false">
      <c r="A18" s="43" t="s">
        <v>275</v>
      </c>
      <c r="B18" s="43"/>
      <c r="C18" s="43"/>
      <c r="D18" s="43"/>
      <c r="E18" s="43"/>
      <c r="F18" s="43"/>
      <c r="G18" s="43"/>
      <c r="H18" s="43"/>
      <c r="I18" s="43"/>
      <c r="J18" s="43"/>
      <c r="K18" s="43"/>
    </row>
    <row r="19" customFormat="false" ht="36" hidden="false" customHeight="true" outlineLevel="0" collapsed="false">
      <c r="A19" s="75" t="s">
        <v>276</v>
      </c>
      <c r="B19" s="75"/>
      <c r="C19" s="75"/>
      <c r="D19" s="75"/>
      <c r="E19" s="75"/>
      <c r="F19" s="75"/>
      <c r="G19" s="75"/>
      <c r="H19" s="75"/>
      <c r="I19" s="75"/>
      <c r="J19" s="75"/>
      <c r="K19" s="75"/>
    </row>
    <row r="20" customFormat="false" ht="36" hidden="false" customHeight="true" outlineLevel="0" collapsed="false">
      <c r="A20" s="75"/>
      <c r="B20" s="75"/>
      <c r="C20" s="75"/>
      <c r="D20" s="75"/>
      <c r="E20" s="75"/>
      <c r="F20" s="75"/>
      <c r="G20" s="75"/>
      <c r="H20" s="75"/>
      <c r="I20" s="75"/>
      <c r="J20" s="75"/>
      <c r="K20" s="75"/>
    </row>
    <row r="21" customFormat="false" ht="36" hidden="false" customHeight="true" outlineLevel="0" collapsed="false">
      <c r="A21" s="75"/>
      <c r="B21" s="75"/>
      <c r="C21" s="75"/>
      <c r="D21" s="75"/>
      <c r="E21" s="75"/>
      <c r="F21" s="75"/>
      <c r="G21" s="75"/>
      <c r="H21" s="75"/>
      <c r="I21" s="75"/>
      <c r="J21" s="75"/>
      <c r="K21" s="75"/>
    </row>
    <row r="22" customFormat="false" ht="27.75" hidden="false" customHeight="true" outlineLevel="0" collapsed="false">
      <c r="A22" s="75"/>
      <c r="B22" s="75"/>
      <c r="C22" s="75"/>
      <c r="D22" s="75"/>
      <c r="E22" s="75"/>
      <c r="F22" s="75"/>
      <c r="G22" s="75"/>
      <c r="H22" s="75"/>
      <c r="I22" s="75"/>
      <c r="J22" s="75"/>
      <c r="K22" s="75"/>
    </row>
  </sheetData>
  <mergeCells count="8">
    <mergeCell ref="A1:K1"/>
    <mergeCell ref="A2:K2"/>
    <mergeCell ref="A4:K4"/>
    <mergeCell ref="A10:E10"/>
    <mergeCell ref="A12:K12"/>
    <mergeCell ref="A14:K14"/>
    <mergeCell ref="A18:K18"/>
    <mergeCell ref="A19:K22"/>
  </mergeCells>
  <dataValidations count="1">
    <dataValidation allowBlank="false" errorStyle="stop" operator="between" showDropDown="false" showErrorMessage="false" showInputMessage="false" sqref="H6:H9" type="list">
      <formula1>"Yes,No"</formula1>
      <formula2>0</formula2>
    </dataValidation>
  </dataValidation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&amp;LCatalog</oddHeader>
    <oddFooter>&amp;LIllustrative management model — not a GAAP statement&amp;RPage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D5A80"/>
    <pageSetUpPr fitToPage="true"/>
  </sheetPr>
  <dimension ref="A1:Q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20"/>
    <col collapsed="false" customWidth="true" hidden="false" outlineLevel="0" max="3" min="3" style="1" width="16"/>
    <col collapsed="false" customWidth="true" hidden="false" outlineLevel="0" max="5" min="4" style="1" width="14"/>
    <col collapsed="false" customWidth="true" hidden="false" outlineLevel="0" max="6" min="6" style="1" width="12"/>
    <col collapsed="false" customWidth="true" hidden="false" outlineLevel="0" max="7" min="7" style="1" width="14"/>
    <col collapsed="false" customWidth="true" hidden="false" outlineLevel="0" max="8" min="8" style="1" width="16"/>
    <col collapsed="false" customWidth="true" hidden="false" outlineLevel="0" max="9" min="9" style="1" width="14"/>
    <col collapsed="false" customWidth="true" hidden="false" outlineLevel="0" max="16" min="10" style="1" width="16"/>
    <col collapsed="false" customWidth="true" hidden="false" outlineLevel="0" max="17" min="17" style="1" width="42"/>
  </cols>
  <sheetData>
    <row r="1" customFormat="false" ht="25.5" hidden="false" customHeight="true" outlineLevel="0" collapsed="false">
      <c r="A1" s="26" t="s">
        <v>277</v>
      </c>
      <c r="B1" s="26"/>
      <c r="C1" s="26"/>
      <c r="D1" s="26"/>
      <c r="E1" s="26"/>
      <c r="F1" s="26"/>
      <c r="G1" s="26"/>
      <c r="H1" s="26"/>
      <c r="I1" s="26"/>
      <c r="J1" s="26"/>
      <c r="K1" s="26"/>
      <c r="L1" s="26"/>
      <c r="M1" s="26"/>
      <c r="N1" s="26"/>
      <c r="O1" s="26"/>
      <c r="P1" s="26"/>
      <c r="Q1" s="26"/>
    </row>
    <row r="2" customFormat="false" ht="15" hidden="false" customHeight="true" outlineLevel="0" collapsed="false">
      <c r="A2" s="3" t="s">
        <v>278</v>
      </c>
      <c r="B2" s="3"/>
      <c r="C2" s="3"/>
      <c r="D2" s="3"/>
      <c r="E2" s="3"/>
      <c r="F2" s="3"/>
      <c r="G2" s="3"/>
      <c r="H2" s="3"/>
      <c r="I2" s="3"/>
      <c r="J2" s="3"/>
      <c r="K2" s="3"/>
      <c r="L2" s="3"/>
      <c r="M2" s="3"/>
      <c r="N2" s="3"/>
      <c r="O2" s="3"/>
      <c r="P2" s="3"/>
      <c r="Q2" s="3"/>
    </row>
    <row r="4" customFormat="false" ht="36" hidden="false" customHeight="true" outlineLevel="0" collapsed="false">
      <c r="A4" s="5" t="s">
        <v>279</v>
      </c>
      <c r="B4" s="5"/>
      <c r="C4" s="5"/>
      <c r="D4" s="5"/>
      <c r="E4" s="5"/>
      <c r="F4" s="5"/>
      <c r="G4" s="5"/>
      <c r="H4" s="5"/>
      <c r="I4" s="5"/>
      <c r="J4" s="5"/>
      <c r="K4" s="5"/>
      <c r="L4" s="5"/>
      <c r="M4" s="5"/>
      <c r="N4" s="5"/>
      <c r="O4" s="5"/>
      <c r="P4" s="5"/>
      <c r="Q4" s="5"/>
    </row>
    <row r="6" customFormat="false" ht="15" hidden="false" customHeight="true" outlineLevel="0" collapsed="false">
      <c r="A6" s="76" t="s">
        <v>280</v>
      </c>
      <c r="B6" s="76"/>
      <c r="C6" s="76"/>
      <c r="D6" s="76"/>
      <c r="E6" s="76"/>
      <c r="F6" s="76"/>
      <c r="G6" s="76"/>
      <c r="H6" s="76"/>
      <c r="I6" s="76"/>
      <c r="J6" s="76"/>
      <c r="K6" s="76"/>
      <c r="L6" s="76"/>
      <c r="M6" s="76"/>
      <c r="N6" s="76"/>
      <c r="O6" s="76"/>
      <c r="P6" s="76"/>
      <c r="Q6" s="76"/>
    </row>
    <row r="7" customFormat="false" ht="27.75" hidden="false" customHeight="true" outlineLevel="0" collapsed="false">
      <c r="A7" s="19" t="s">
        <v>281</v>
      </c>
      <c r="B7" s="19" t="s">
        <v>232</v>
      </c>
      <c r="C7" s="19" t="s">
        <v>282</v>
      </c>
      <c r="D7" s="19" t="s">
        <v>283</v>
      </c>
      <c r="E7" s="19" t="s">
        <v>284</v>
      </c>
      <c r="F7" s="19" t="s">
        <v>285</v>
      </c>
      <c r="G7" s="19" t="s">
        <v>286</v>
      </c>
      <c r="H7" s="19" t="s">
        <v>287</v>
      </c>
      <c r="I7" s="19" t="s">
        <v>288</v>
      </c>
      <c r="J7" s="19" t="s">
        <v>289</v>
      </c>
      <c r="K7" s="19" t="s">
        <v>290</v>
      </c>
      <c r="L7" s="19" t="s">
        <v>291</v>
      </c>
      <c r="M7" s="19" t="s">
        <v>292</v>
      </c>
      <c r="N7" s="19" t="s">
        <v>293</v>
      </c>
      <c r="O7" s="19" t="s">
        <v>294</v>
      </c>
      <c r="P7" s="19" t="s">
        <v>295</v>
      </c>
    </row>
    <row r="8" customFormat="false" ht="30" hidden="false" customHeight="true" outlineLevel="0" collapsed="false">
      <c r="A8" s="77" t="n">
        <v>1</v>
      </c>
      <c r="B8" s="38" t="str">
        <f aca="false">Catalog!A6</f>
        <v>Geocoding</v>
      </c>
      <c r="C8" s="54" t="n">
        <v>1</v>
      </c>
      <c r="D8" s="54" t="n">
        <v>1</v>
      </c>
      <c r="E8" s="53" t="n">
        <v>1</v>
      </c>
      <c r="F8" s="54" t="n">
        <v>0.03</v>
      </c>
      <c r="G8" s="54" t="n">
        <v>0.35</v>
      </c>
      <c r="H8" s="53" t="n">
        <v>1</v>
      </c>
      <c r="I8" s="78" t="n">
        <f aca="false">Catalog!E6</f>
        <v>0.004</v>
      </c>
      <c r="J8" s="79" t="n">
        <f aca="false">C8*E8*(1+F8)*(1-G8)</f>
        <v>0.6695</v>
      </c>
      <c r="K8" s="79" t="n">
        <f aca="false">J8*H8</f>
        <v>0.6695</v>
      </c>
      <c r="L8" s="80" t="n">
        <f aca="false">K8*I8</f>
        <v>0.002678</v>
      </c>
      <c r="M8" s="79" t="n">
        <f aca="false">D8*E8*(1+F8)*(1-G8)</f>
        <v>0.6695</v>
      </c>
      <c r="N8" s="79" t="n">
        <f aca="false">M8*H8</f>
        <v>0.6695</v>
      </c>
      <c r="O8" s="80" t="n">
        <f aca="false">N8*I8</f>
        <v>0.002678</v>
      </c>
      <c r="P8" s="66" t="s">
        <v>296</v>
      </c>
    </row>
    <row r="9" customFormat="false" ht="30" hidden="false" customHeight="true" outlineLevel="0" collapsed="false">
      <c r="A9" s="77" t="n">
        <v>2</v>
      </c>
      <c r="B9" s="38" t="str">
        <f aca="false">Catalog!A7</f>
        <v>Risk / Verification</v>
      </c>
      <c r="C9" s="54" t="n">
        <v>0.4</v>
      </c>
      <c r="D9" s="54" t="n">
        <v>0.15</v>
      </c>
      <c r="E9" s="53" t="n">
        <v>1</v>
      </c>
      <c r="F9" s="54" t="n">
        <v>0.05</v>
      </c>
      <c r="G9" s="54" t="n">
        <v>0</v>
      </c>
      <c r="H9" s="53" t="n">
        <v>1</v>
      </c>
      <c r="I9" s="78" t="n">
        <f aca="false">Catalog!E7</f>
        <v>0.18</v>
      </c>
      <c r="J9" s="79" t="n">
        <f aca="false">C9*E9*(1+F9)*(1-G9)</f>
        <v>0.42</v>
      </c>
      <c r="K9" s="79" t="n">
        <f aca="false">J9*H9</f>
        <v>0.42</v>
      </c>
      <c r="L9" s="80" t="n">
        <f aca="false">K9*I9</f>
        <v>0.0756</v>
      </c>
      <c r="M9" s="79" t="n">
        <f aca="false">D9*E9*(1+F9)*(1-G9)</f>
        <v>0.1575</v>
      </c>
      <c r="N9" s="79" t="n">
        <f aca="false">M9*H9</f>
        <v>0.1575</v>
      </c>
      <c r="O9" s="80" t="n">
        <f aca="false">N9*I9</f>
        <v>0.02835</v>
      </c>
      <c r="P9" s="66" t="s">
        <v>297</v>
      </c>
    </row>
    <row r="10" customFormat="false" ht="30" hidden="false" customHeight="true" outlineLevel="0" collapsed="false">
      <c r="A10" s="77" t="n">
        <v>3</v>
      </c>
      <c r="B10" s="38" t="str">
        <f aca="false">Catalog!A8</f>
        <v>AI Model</v>
      </c>
      <c r="C10" s="54" t="n">
        <v>0.8</v>
      </c>
      <c r="D10" s="54" t="n">
        <v>0.25</v>
      </c>
      <c r="E10" s="53" t="n">
        <v>1</v>
      </c>
      <c r="F10" s="54" t="n">
        <v>0.08</v>
      </c>
      <c r="G10" s="54" t="n">
        <v>0</v>
      </c>
      <c r="H10" s="53" t="n">
        <v>4</v>
      </c>
      <c r="I10" s="78" t="n">
        <f aca="false">Catalog!E8</f>
        <v>0.012</v>
      </c>
      <c r="J10" s="79" t="n">
        <f aca="false">C10*E10*(1+F10)*(1-G10)</f>
        <v>0.864</v>
      </c>
      <c r="K10" s="79" t="n">
        <f aca="false">J10*H10</f>
        <v>3.456</v>
      </c>
      <c r="L10" s="80" t="n">
        <f aca="false">K10*I10</f>
        <v>0.041472</v>
      </c>
      <c r="M10" s="79" t="n">
        <f aca="false">D10*E10*(1+F10)*(1-G10)</f>
        <v>0.27</v>
      </c>
      <c r="N10" s="79" t="n">
        <f aca="false">M10*H10</f>
        <v>1.08</v>
      </c>
      <c r="O10" s="80" t="n">
        <f aca="false">N10*I10</f>
        <v>0.01296</v>
      </c>
      <c r="P10" s="66" t="s">
        <v>298</v>
      </c>
    </row>
    <row r="11" customFormat="false" ht="30" hidden="false" customHeight="true" outlineLevel="0" collapsed="false">
      <c r="A11" s="77" t="n">
        <v>4</v>
      </c>
      <c r="B11" s="38" t="str">
        <f aca="false">Catalog!A9</f>
        <v>Notification</v>
      </c>
      <c r="C11" s="54" t="n">
        <v>0.9</v>
      </c>
      <c r="D11" s="54" t="n">
        <v>0.05</v>
      </c>
      <c r="E11" s="53" t="n">
        <v>1</v>
      </c>
      <c r="F11" s="54" t="n">
        <v>0.02</v>
      </c>
      <c r="G11" s="54" t="n">
        <v>0</v>
      </c>
      <c r="H11" s="53" t="n">
        <v>1</v>
      </c>
      <c r="I11" s="78" t="n">
        <f aca="false">Catalog!E9</f>
        <v>0.008</v>
      </c>
      <c r="J11" s="79" t="n">
        <f aca="false">C11*E11*(1+F11)*(1-G11)</f>
        <v>0.918</v>
      </c>
      <c r="K11" s="79" t="n">
        <f aca="false">J11*H11</f>
        <v>0.918</v>
      </c>
      <c r="L11" s="80" t="n">
        <f aca="false">K11*I11</f>
        <v>0.007344</v>
      </c>
      <c r="M11" s="79" t="n">
        <f aca="false">D11*E11*(1+F11)*(1-G11)</f>
        <v>0.051</v>
      </c>
      <c r="N11" s="79" t="n">
        <f aca="false">M11*H11</f>
        <v>0.051</v>
      </c>
      <c r="O11" s="80" t="n">
        <f aca="false">N11*I11</f>
        <v>0.000408</v>
      </c>
      <c r="P11" s="66" t="s">
        <v>299</v>
      </c>
    </row>
    <row r="12" customFormat="false" ht="21.75" hidden="false" customHeight="true" outlineLevel="0" collapsed="false">
      <c r="A12" s="74"/>
      <c r="B12" s="81" t="s">
        <v>300</v>
      </c>
      <c r="J12" s="82" t="n">
        <f aca="false">SUM(J8:J11)</f>
        <v>2.8715</v>
      </c>
      <c r="K12" s="82" t="n">
        <f aca="false">SUM(K8:K11)</f>
        <v>5.4635</v>
      </c>
      <c r="L12" s="83" t="n">
        <f aca="false">SUM(L8:L11)</f>
        <v>0.127094</v>
      </c>
      <c r="M12" s="82" t="n">
        <f aca="false">SUM(M8:M11)</f>
        <v>1.148</v>
      </c>
      <c r="N12" s="82" t="n">
        <f aca="false">SUM(N8:N11)</f>
        <v>1.958</v>
      </c>
      <c r="O12" s="83" t="n">
        <f aca="false">SUM(O8:O11)</f>
        <v>0.044396</v>
      </c>
    </row>
    <row r="14" customFormat="false" ht="21.75" hidden="false" customHeight="true" outlineLevel="0" collapsed="false">
      <c r="A14" s="4" t="s">
        <v>301</v>
      </c>
      <c r="B14" s="4"/>
      <c r="C14" s="4"/>
      <c r="D14" s="4"/>
      <c r="E14" s="4"/>
      <c r="F14" s="4"/>
      <c r="G14" s="4"/>
      <c r="H14" s="4"/>
      <c r="I14" s="4"/>
      <c r="J14" s="4"/>
      <c r="K14" s="4"/>
      <c r="L14" s="4"/>
      <c r="M14" s="4"/>
      <c r="N14" s="4"/>
      <c r="O14" s="4"/>
      <c r="P14" s="4"/>
    </row>
    <row r="15" customFormat="false" ht="79.5" hidden="false" customHeight="true" outlineLevel="0" collapsed="false">
      <c r="A15" s="55" t="s">
        <v>302</v>
      </c>
      <c r="C15" s="37" t="n">
        <f aca="false">L12</f>
        <v>0.127094</v>
      </c>
      <c r="D15" s="57" t="s">
        <v>303</v>
      </c>
    </row>
    <row r="16" customFormat="false" ht="68.25" hidden="false" customHeight="true" outlineLevel="0" collapsed="false">
      <c r="A16" s="55" t="s">
        <v>304</v>
      </c>
      <c r="C16" s="37" t="n">
        <f aca="false">O12</f>
        <v>0.044396</v>
      </c>
      <c r="D16" s="57" t="s">
        <v>305</v>
      </c>
    </row>
    <row r="17" customFormat="false" ht="23.25" hidden="false" customHeight="true" outlineLevel="0" collapsed="false">
      <c r="A17" s="55" t="s">
        <v>188</v>
      </c>
      <c r="C17" s="41" t="n">
        <f aca="false">Assumptions!B7</f>
        <v>0.92</v>
      </c>
    </row>
    <row r="18" customFormat="false" ht="68.25" hidden="false" customHeight="true" outlineLevel="0" collapsed="false">
      <c r="A18" s="55" t="s">
        <v>306</v>
      </c>
      <c r="C18" s="83" t="n">
        <f aca="false">C17*C15+(1-C17)*C16</f>
        <v>0.12047816</v>
      </c>
      <c r="D18" s="57" t="s">
        <v>307</v>
      </c>
    </row>
    <row r="19" customFormat="false" ht="79.5" hidden="false" customHeight="true" outlineLevel="0" collapsed="false">
      <c r="A19" s="55" t="s">
        <v>308</v>
      </c>
      <c r="C19" s="83" t="n">
        <f aca="false">IF(C17=0,0,(1-C17)/C17*C16)</f>
        <v>0.00386052173913043</v>
      </c>
      <c r="D19" s="57" t="s">
        <v>309</v>
      </c>
    </row>
    <row r="20" customFormat="false" ht="135.75" hidden="false" customHeight="true" outlineLevel="0" collapsed="false">
      <c r="A20" s="55" t="s">
        <v>310</v>
      </c>
      <c r="C20" s="83" t="n">
        <f aca="false">C15+C19</f>
        <v>0.13095452173913</v>
      </c>
      <c r="D20" s="57" t="s">
        <v>311</v>
      </c>
    </row>
    <row r="21" customFormat="false" ht="57" hidden="false" customHeight="true" outlineLevel="0" collapsed="false">
      <c r="A21" s="55" t="s">
        <v>312</v>
      </c>
      <c r="C21" s="80" t="n">
        <f aca="false">IF(C17=0,0,C18/C17)</f>
        <v>0.13095452173913</v>
      </c>
      <c r="D21" s="57" t="s">
        <v>313</v>
      </c>
    </row>
    <row r="22" customFormat="false" ht="23.25" hidden="false" customHeight="true" outlineLevel="0" collapsed="false">
      <c r="A22" s="55" t="s">
        <v>107</v>
      </c>
      <c r="C22" s="84" t="str">
        <f aca="false">IF(ABS(C20-C21)&lt;0.0000001,"OK — identities match","ERROR — identities do not match")</f>
        <v>OK — identities match</v>
      </c>
    </row>
    <row r="24" customFormat="false" ht="31.5" hidden="false" customHeight="true" outlineLevel="0" collapsed="false">
      <c r="A24" s="24" t="s">
        <v>314</v>
      </c>
      <c r="B24" s="24"/>
      <c r="C24" s="24"/>
      <c r="D24" s="24"/>
      <c r="E24" s="24"/>
      <c r="F24" s="24"/>
      <c r="G24" s="24"/>
      <c r="H24" s="24"/>
      <c r="I24" s="24"/>
      <c r="J24" s="24"/>
      <c r="K24" s="24"/>
      <c r="L24" s="24"/>
      <c r="M24" s="24"/>
      <c r="N24" s="24"/>
      <c r="O24" s="24"/>
      <c r="P24" s="24"/>
    </row>
  </sheetData>
  <mergeCells count="6">
    <mergeCell ref="A1:Q1"/>
    <mergeCell ref="A2:Q2"/>
    <mergeCell ref="A4:Q4"/>
    <mergeCell ref="A6:Q6"/>
    <mergeCell ref="A14:P14"/>
    <mergeCell ref="A24:P24"/>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&amp;LWorkflow</oddHeader>
    <oddFooter>&amp;LIllustrative management model — not a GAAP statement&amp;RPage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6C6C"/>
    <pageSetUpPr fitToPage="true"/>
  </sheetPr>
  <dimension ref="A1:D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2"/>
    <col collapsed="false" customWidth="true" hidden="false" outlineLevel="0" max="3" min="2" style="1" width="18"/>
    <col collapsed="false" customWidth="true" hidden="false" outlineLevel="0" max="4" min="4" style="1" width="72"/>
    <col collapsed="false" customWidth="true" hidden="false" outlineLevel="0" max="5" min="5" style="1" width="18"/>
  </cols>
  <sheetData>
    <row r="1" customFormat="false" ht="21.75" hidden="false" customHeight="true" outlineLevel="0" collapsed="false">
      <c r="A1" s="26" t="s">
        <v>315</v>
      </c>
      <c r="B1" s="26"/>
      <c r="C1" s="26"/>
      <c r="D1" s="26"/>
    </row>
    <row r="2" customFormat="false" ht="15" hidden="false" customHeight="true" outlineLevel="0" collapsed="false">
      <c r="A2" s="3" t="s">
        <v>316</v>
      </c>
      <c r="B2" s="3"/>
      <c r="C2" s="3"/>
      <c r="D2" s="3"/>
    </row>
    <row r="4" customFormat="false" ht="21.75" hidden="false" customHeight="true" outlineLevel="0" collapsed="false">
      <c r="A4" s="4" t="s">
        <v>317</v>
      </c>
      <c r="B4" s="4"/>
      <c r="C4" s="4"/>
      <c r="D4" s="4"/>
    </row>
    <row r="5" customFormat="false" ht="15" hidden="false" customHeight="true" outlineLevel="0" collapsed="false">
      <c r="A5" s="55" t="s">
        <v>144</v>
      </c>
      <c r="B5" s="63" t="n">
        <f aca="false">Assumptions!B5</f>
        <v>25000</v>
      </c>
      <c r="D5" s="57" t="s">
        <v>318</v>
      </c>
    </row>
    <row r="6" customFormat="false" ht="15" hidden="false" customHeight="true" outlineLevel="0" collapsed="false">
      <c r="A6" s="55" t="s">
        <v>319</v>
      </c>
      <c r="B6" s="64" t="n">
        <f aca="false">Assumptions!B6</f>
        <v>18</v>
      </c>
      <c r="D6" s="57"/>
    </row>
    <row r="7" customFormat="false" ht="15" hidden="false" customHeight="true" outlineLevel="0" collapsed="false">
      <c r="A7" s="55" t="s">
        <v>188</v>
      </c>
      <c r="B7" s="41" t="n">
        <f aca="false">Assumptions!B7</f>
        <v>0.92</v>
      </c>
      <c r="D7" s="57"/>
    </row>
    <row r="8" customFormat="false" ht="15" hidden="false" customHeight="true" outlineLevel="0" collapsed="false">
      <c r="A8" s="55" t="s">
        <v>320</v>
      </c>
      <c r="B8" s="73" t="n">
        <f aca="false">Assumptions!B8</f>
        <v>450000</v>
      </c>
      <c r="D8" s="57"/>
    </row>
    <row r="9" customFormat="false" ht="15" hidden="false" customHeight="true" outlineLevel="0" collapsed="false">
      <c r="A9" s="55" t="s">
        <v>152</v>
      </c>
      <c r="B9" s="73" t="n">
        <f aca="false">Assumptions!B9</f>
        <v>414000</v>
      </c>
      <c r="D9" s="57"/>
    </row>
    <row r="10" customFormat="false" ht="15" hidden="false" customHeight="true" outlineLevel="0" collapsed="false">
      <c r="A10" s="55" t="s">
        <v>321</v>
      </c>
      <c r="B10" s="73" t="n">
        <f aca="false">Assumptions!B10</f>
        <v>36000</v>
      </c>
      <c r="D10" s="57"/>
    </row>
    <row r="11" customFormat="false" ht="15" hidden="false" customHeight="true" outlineLevel="0" collapsed="false">
      <c r="A11" s="55" t="s">
        <v>166</v>
      </c>
      <c r="B11" s="65" t="n">
        <f aca="false">Assumptions!B18</f>
        <v>600000</v>
      </c>
      <c r="D11" s="57" t="s">
        <v>322</v>
      </c>
    </row>
    <row r="12" customFormat="false" ht="15" hidden="false" customHeight="true" outlineLevel="0" collapsed="false">
      <c r="A12" s="55" t="s">
        <v>323</v>
      </c>
      <c r="B12" s="72" t="n">
        <f aca="false">IF(B5=0,0,B11/B5)</f>
        <v>24</v>
      </c>
      <c r="D12" s="57"/>
    </row>
    <row r="14" customFormat="false" ht="21.75" hidden="false" customHeight="true" outlineLevel="0" collapsed="false">
      <c r="A14" s="4" t="s">
        <v>324</v>
      </c>
      <c r="B14" s="4"/>
      <c r="C14" s="4"/>
      <c r="D14" s="4"/>
    </row>
    <row r="15" customFormat="false" ht="19.5" hidden="false" customHeight="true" outlineLevel="0" collapsed="false">
      <c r="A15" s="55" t="s">
        <v>325</v>
      </c>
      <c r="B15" s="65" t="n">
        <f aca="false">Engine!B28</f>
        <v>54135.172</v>
      </c>
      <c r="D15" s="57" t="s">
        <v>326</v>
      </c>
    </row>
    <row r="16" customFormat="false" ht="19.5" hidden="false" customHeight="true" outlineLevel="0" collapsed="false">
      <c r="A16" s="55" t="s">
        <v>327</v>
      </c>
      <c r="B16" s="65" t="n">
        <f aca="false">Engine!C28</f>
        <v>600</v>
      </c>
      <c r="D16" s="57" t="s">
        <v>328</v>
      </c>
    </row>
    <row r="17" customFormat="false" ht="19.5" hidden="false" customHeight="true" outlineLevel="0" collapsed="false">
      <c r="A17" s="55" t="s">
        <v>329</v>
      </c>
      <c r="B17" s="60" t="n">
        <f aca="false">B15+B16</f>
        <v>54735.172</v>
      </c>
      <c r="D17" s="57" t="s">
        <v>330</v>
      </c>
    </row>
    <row r="18" customFormat="false" ht="19.5" hidden="false" customHeight="true" outlineLevel="0" collapsed="false">
      <c r="A18" s="55" t="s">
        <v>331</v>
      </c>
      <c r="B18" s="83" t="n">
        <f aca="false">IF(B8=0,0,B17/B8)</f>
        <v>0.121633715555556</v>
      </c>
      <c r="D18" s="57" t="s">
        <v>332</v>
      </c>
    </row>
    <row r="19" customFormat="false" ht="19.5" hidden="false" customHeight="true" outlineLevel="0" collapsed="false">
      <c r="A19" s="55" t="s">
        <v>333</v>
      </c>
      <c r="B19" s="83" t="n">
        <f aca="false">IF(B9=0,0,B17/B9)</f>
        <v>0.132210560386473</v>
      </c>
      <c r="D19" s="57" t="s">
        <v>334</v>
      </c>
    </row>
    <row r="20" customFormat="false" ht="19.5" hidden="false" customHeight="true" outlineLevel="0" collapsed="false">
      <c r="A20" s="55" t="s">
        <v>335</v>
      </c>
      <c r="B20" s="80" t="n">
        <f aca="false">IF(B9=0,0,B15/B9)</f>
        <v>0.130761285024155</v>
      </c>
      <c r="D20" s="57" t="s">
        <v>336</v>
      </c>
    </row>
    <row r="22" customFormat="false" ht="21.75" hidden="false" customHeight="true" outlineLevel="0" collapsed="false">
      <c r="A22" s="4" t="s">
        <v>337</v>
      </c>
      <c r="B22" s="4"/>
      <c r="C22" s="4"/>
      <c r="D22" s="4"/>
    </row>
    <row r="23" customFormat="false" ht="15" hidden="false" customHeight="true" outlineLevel="0" collapsed="false">
      <c r="A23" s="55" t="s">
        <v>338</v>
      </c>
      <c r="B23" s="65" t="n">
        <f aca="false">Assumptions!B36</f>
        <v>25560</v>
      </c>
      <c r="D23" s="57" t="s">
        <v>339</v>
      </c>
    </row>
    <row r="24" customFormat="false" ht="15" hidden="false" customHeight="true" outlineLevel="0" collapsed="false">
      <c r="A24" s="55" t="s">
        <v>183</v>
      </c>
      <c r="B24" s="65" t="n">
        <f aca="false">Assumptions!B37</f>
        <v>45000</v>
      </c>
      <c r="D24" s="57" t="s">
        <v>340</v>
      </c>
    </row>
    <row r="25" customFormat="false" ht="15" hidden="false" customHeight="true" outlineLevel="0" collapsed="false">
      <c r="A25" s="55" t="s">
        <v>341</v>
      </c>
      <c r="B25" s="60" t="n">
        <f aca="false">B17+B23+B24</f>
        <v>125295.172</v>
      </c>
      <c r="D25" s="57" t="s">
        <v>342</v>
      </c>
    </row>
    <row r="26" customFormat="false" ht="15" hidden="false" customHeight="true" outlineLevel="0" collapsed="false">
      <c r="A26" s="55" t="s">
        <v>343</v>
      </c>
      <c r="B26" s="60" t="n">
        <f aca="false">IF(B5=0,0,B25/B5)</f>
        <v>5.01180688</v>
      </c>
      <c r="D26" s="57"/>
    </row>
    <row r="27" customFormat="false" ht="15" hidden="false" customHeight="true" outlineLevel="0" collapsed="false">
      <c r="A27" s="55" t="s">
        <v>344</v>
      </c>
      <c r="B27" s="83" t="n">
        <f aca="false">IF(B9=0,0,B25/B9)</f>
        <v>0.302645342995169</v>
      </c>
      <c r="D27" s="57"/>
    </row>
    <row r="29" customFormat="false" ht="21.75" hidden="false" customHeight="true" outlineLevel="0" collapsed="false">
      <c r="A29" s="4" t="s">
        <v>345</v>
      </c>
      <c r="B29" s="4"/>
      <c r="C29" s="4"/>
      <c r="D29" s="4"/>
    </row>
    <row r="30" customFormat="false" ht="15" hidden="false" customHeight="true" outlineLevel="0" collapsed="false">
      <c r="A30" s="55" t="s">
        <v>346</v>
      </c>
      <c r="B30" s="60" t="n">
        <f aca="false">IF(Assumptions!B15="Yes",Assumptions!B18+Assumptions!B29,Assumptions!B18)</f>
        <v>600000</v>
      </c>
      <c r="D30" s="57" t="s">
        <v>347</v>
      </c>
    </row>
    <row r="31" customFormat="false" ht="15" hidden="false" customHeight="true" outlineLevel="0" collapsed="false">
      <c r="A31" s="55" t="s">
        <v>348</v>
      </c>
      <c r="B31" s="60" t="n">
        <f aca="false">B30-B25</f>
        <v>474704.828</v>
      </c>
    </row>
    <row r="32" customFormat="false" ht="15" hidden="false" customHeight="true" outlineLevel="0" collapsed="false">
      <c r="A32" s="55" t="s">
        <v>349</v>
      </c>
      <c r="B32" s="85" t="n">
        <f aca="false">IF(B30=0,0,B31/B30)</f>
        <v>0.791174713333333</v>
      </c>
    </row>
    <row r="33" customFormat="false" ht="15" hidden="false" customHeight="true" outlineLevel="0" collapsed="false">
      <c r="A33" s="55" t="s">
        <v>350</v>
      </c>
      <c r="B33" s="60" t="n">
        <f aca="false">IF(B5=0,0,B31/B5)</f>
        <v>18.98819312</v>
      </c>
    </row>
    <row r="34" customFormat="false" ht="15" hidden="false" customHeight="true" outlineLevel="0" collapsed="false">
      <c r="A34" s="55" t="s">
        <v>351</v>
      </c>
      <c r="B34" s="65" t="n">
        <f aca="false">Assumptions!B35</f>
        <v>85000</v>
      </c>
    </row>
    <row r="35" customFormat="false" ht="15" hidden="false" customHeight="true" outlineLevel="0" collapsed="false">
      <c r="A35" s="55" t="s">
        <v>352</v>
      </c>
      <c r="B35" s="60" t="n">
        <f aca="false">B31-B34</f>
        <v>389704.828</v>
      </c>
    </row>
    <row r="36" customFormat="false" ht="15" hidden="false" customHeight="true" outlineLevel="0" collapsed="false">
      <c r="A36" s="55" t="s">
        <v>353</v>
      </c>
      <c r="B36" s="85" t="n">
        <f aca="false">IF(B30=0,0,B35/B30)</f>
        <v>0.649508046666667</v>
      </c>
    </row>
    <row r="38" customFormat="false" ht="21.75" hidden="false" customHeight="true" outlineLevel="0" collapsed="false">
      <c r="A38" s="4" t="s">
        <v>354</v>
      </c>
      <c r="B38" s="4"/>
      <c r="C38" s="4"/>
      <c r="D38" s="4"/>
    </row>
    <row r="39" customFormat="false" ht="27.75" hidden="false" customHeight="true" outlineLevel="0" collapsed="false">
      <c r="A39" s="24" t="s">
        <v>355</v>
      </c>
      <c r="B39" s="24"/>
      <c r="C39" s="24"/>
      <c r="D39" s="24"/>
    </row>
    <row r="40" customFormat="false" ht="15" hidden="false" customHeight="true" outlineLevel="0" collapsed="false">
      <c r="A40" s="55" t="s">
        <v>356</v>
      </c>
      <c r="B40" s="65" t="n">
        <f aca="false">Assumptions!B29</f>
        <v>269100</v>
      </c>
    </row>
    <row r="41" customFormat="false" ht="15" hidden="false" customHeight="true" outlineLevel="0" collapsed="false">
      <c r="A41" s="55" t="s">
        <v>357</v>
      </c>
      <c r="B41" s="65" t="n">
        <f aca="false">B17</f>
        <v>54735.172</v>
      </c>
    </row>
    <row r="42" customFormat="false" ht="15" hidden="false" customHeight="true" outlineLevel="0" collapsed="false">
      <c r="A42" s="55" t="s">
        <v>358</v>
      </c>
      <c r="B42" s="60" t="n">
        <f aca="false">B40-B41</f>
        <v>214364.828</v>
      </c>
    </row>
    <row r="43" customFormat="false" ht="15" hidden="false" customHeight="true" outlineLevel="0" collapsed="false">
      <c r="A43" s="55" t="s">
        <v>95</v>
      </c>
      <c r="B43" s="86" t="n">
        <f aca="false">IF(B41=0,0,B42/B41)</f>
        <v>3.9164000069279</v>
      </c>
      <c r="D43" s="57" t="s">
        <v>359</v>
      </c>
    </row>
    <row r="44" customFormat="false" ht="15" hidden="false" customHeight="true" outlineLevel="0" collapsed="false">
      <c r="A44" s="55" t="s">
        <v>360</v>
      </c>
      <c r="B44" s="83" t="n">
        <f aca="false">Assumptions!B25-B19</f>
        <v>0.517789439613527</v>
      </c>
      <c r="D44" s="57" t="s">
        <v>361</v>
      </c>
    </row>
    <row r="46" customFormat="false" ht="21.75" hidden="false" customHeight="true" outlineLevel="0" collapsed="false">
      <c r="A46" s="4" t="s">
        <v>362</v>
      </c>
      <c r="B46" s="4"/>
      <c r="C46" s="4"/>
      <c r="D46" s="4"/>
    </row>
    <row r="47" customFormat="false" ht="24" hidden="false" customHeight="true" outlineLevel="0" collapsed="false">
      <c r="A47" s="55" t="s">
        <v>363</v>
      </c>
      <c r="B47" s="87" t="str">
        <f aca="false">IF(B19&gt;1,"Yes — unit cost per success is over $1","Check the BOM; small call prices can still add up")</f>
        <v>Check the BOM; small call prices can still add up</v>
      </c>
    </row>
    <row r="48" customFormat="false" ht="24" hidden="false" customHeight="true" outlineLevel="0" collapsed="false">
      <c r="A48" s="55" t="s">
        <v>364</v>
      </c>
      <c r="B48" s="87" t="str">
        <f aca="false">IF(Workflow!C16&gt;=Workflow!C15*0.75,"Failures almost as expensive as successes","Failures are cheaper — good, but they still load onto each success")</f>
        <v>Failures are cheaper — good, but they still load onto each success</v>
      </c>
    </row>
  </sheetData>
  <mergeCells count="9">
    <mergeCell ref="A1:D1"/>
    <mergeCell ref="A2:D2"/>
    <mergeCell ref="A4:D4"/>
    <mergeCell ref="A14:D14"/>
    <mergeCell ref="A22:D22"/>
    <mergeCell ref="A29:D29"/>
    <mergeCell ref="A38:D38"/>
    <mergeCell ref="A39:D39"/>
    <mergeCell ref="A46:D46"/>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&amp;LUnitEconomics</oddHeader>
    <oddFooter>&amp;LIllustrative management model — not a GAAP statement&amp;RPage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6C6C"/>
    <pageSetUpPr fitToPage="true"/>
  </sheetPr>
  <dimension ref="A1:F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8"/>
    <col collapsed="false" customWidth="true" hidden="false" outlineLevel="0" max="2" min="2" style="1" width="18"/>
    <col collapsed="false" customWidth="true" hidden="false" outlineLevel="0" max="3" min="3" style="1" width="14"/>
    <col collapsed="false" customWidth="true" hidden="false" outlineLevel="0" max="4" min="4" style="1" width="28"/>
    <col collapsed="false" customWidth="true" hidden="false" outlineLevel="0" max="5" min="5" style="1" width="22"/>
    <col collapsed="false" customWidth="true" hidden="false" outlineLevel="0" max="6" min="6" style="1" width="78"/>
  </cols>
  <sheetData>
    <row r="1" customFormat="false" ht="21.75" hidden="false" customHeight="true" outlineLevel="0" collapsed="false">
      <c r="A1" s="26" t="s">
        <v>365</v>
      </c>
      <c r="B1" s="26"/>
      <c r="C1" s="26"/>
      <c r="D1" s="26"/>
      <c r="E1" s="26"/>
      <c r="F1" s="26"/>
    </row>
    <row r="2" customFormat="false" ht="15" hidden="false" customHeight="true" outlineLevel="0" collapsed="false">
      <c r="A2" s="3" t="s">
        <v>366</v>
      </c>
      <c r="B2" s="3"/>
      <c r="C2" s="3"/>
      <c r="D2" s="3"/>
      <c r="E2" s="3"/>
      <c r="F2" s="3"/>
    </row>
    <row r="4" customFormat="false" ht="27.75" hidden="false" customHeight="true" outlineLevel="0" collapsed="false">
      <c r="A4" s="19" t="s">
        <v>367</v>
      </c>
      <c r="B4" s="19" t="s">
        <v>368</v>
      </c>
      <c r="C4" s="19" t="s">
        <v>369</v>
      </c>
      <c r="D4" s="19" t="s">
        <v>370</v>
      </c>
      <c r="E4" s="19" t="s">
        <v>239</v>
      </c>
      <c r="F4" s="19" t="s">
        <v>193</v>
      </c>
    </row>
    <row r="5" customFormat="false" ht="36" hidden="false" customHeight="true" outlineLevel="0" collapsed="false">
      <c r="A5" s="8" t="s">
        <v>371</v>
      </c>
      <c r="B5" s="65" t="n">
        <f aca="false">Assumptions!B16</f>
        <v>600000</v>
      </c>
      <c r="C5" s="88" t="n">
        <f aca="false">IF($B$8=0,0,B5/$B$8)</f>
        <v>1</v>
      </c>
      <c r="D5" s="69" t="s">
        <v>273</v>
      </c>
      <c r="E5" s="69" t="s">
        <v>372</v>
      </c>
      <c r="F5" s="8" t="s">
        <v>373</v>
      </c>
    </row>
    <row r="6" customFormat="false" ht="36" hidden="false" customHeight="true" outlineLevel="0" collapsed="false">
      <c r="A6" s="8" t="s">
        <v>374</v>
      </c>
      <c r="B6" s="65" t="n">
        <f aca="false">Assumptions!B17</f>
        <v>0</v>
      </c>
      <c r="C6" s="88" t="n">
        <f aca="false">IF($B$8=0,0,B6/$B$8)</f>
        <v>0</v>
      </c>
      <c r="D6" s="69" t="s">
        <v>273</v>
      </c>
      <c r="E6" s="69" t="s">
        <v>372</v>
      </c>
      <c r="F6" s="8" t="s">
        <v>375</v>
      </c>
    </row>
    <row r="7" customFormat="false" ht="36" hidden="false" customHeight="true" outlineLevel="0" collapsed="false">
      <c r="A7" s="8" t="s">
        <v>376</v>
      </c>
      <c r="B7" s="65" t="n">
        <f aca="false">IF(Assumptions!B15="Yes",Assumptions!B29,0)</f>
        <v>0</v>
      </c>
      <c r="C7" s="88" t="n">
        <f aca="false">IF($B$8=0,0,B7/$B$8)</f>
        <v>0</v>
      </c>
      <c r="D7" s="69" t="s">
        <v>377</v>
      </c>
      <c r="E7" s="69" t="s">
        <v>378</v>
      </c>
      <c r="F7" s="8" t="s">
        <v>379</v>
      </c>
    </row>
    <row r="8" customFormat="false" ht="36" hidden="false" customHeight="true" outlineLevel="0" collapsed="false">
      <c r="A8" s="89" t="s">
        <v>346</v>
      </c>
      <c r="B8" s="60" t="n">
        <f aca="false">UnitEconomics!B30</f>
        <v>600000</v>
      </c>
      <c r="C8" s="88" t="n">
        <f aca="false">IF($B$8=0,0,B8/$B$8)</f>
        <v>1</v>
      </c>
      <c r="D8" s="69" t="s">
        <v>273</v>
      </c>
      <c r="E8" s="69" t="s">
        <v>378</v>
      </c>
      <c r="F8" s="8" t="s">
        <v>380</v>
      </c>
    </row>
    <row r="9" customFormat="false" ht="36" hidden="false" customHeight="true" outlineLevel="0" collapsed="false">
      <c r="A9" s="8" t="s">
        <v>381</v>
      </c>
      <c r="B9" s="65" t="n">
        <f aca="false">UnitEconomics!B15</f>
        <v>54135.172</v>
      </c>
      <c r="C9" s="88" t="n">
        <f aca="false">IF($B$8=0,0,B9/$B$8)</f>
        <v>0.0902252866666667</v>
      </c>
      <c r="D9" s="69" t="s">
        <v>382</v>
      </c>
      <c r="E9" s="69" t="s">
        <v>383</v>
      </c>
      <c r="F9" s="8" t="s">
        <v>384</v>
      </c>
    </row>
    <row r="10" customFormat="false" ht="36" hidden="false" customHeight="true" outlineLevel="0" collapsed="false">
      <c r="A10" s="8" t="s">
        <v>385</v>
      </c>
      <c r="B10" s="65" t="n">
        <f aca="false">UnitEconomics!B16</f>
        <v>600</v>
      </c>
      <c r="C10" s="88" t="n">
        <f aca="false">IF($B$8=0,0,B10/$B$8)</f>
        <v>0.001</v>
      </c>
      <c r="D10" s="69" t="s">
        <v>382</v>
      </c>
      <c r="E10" s="69" t="s">
        <v>386</v>
      </c>
      <c r="F10" s="8" t="s">
        <v>387</v>
      </c>
    </row>
    <row r="11" customFormat="false" ht="36" hidden="false" customHeight="true" outlineLevel="0" collapsed="false">
      <c r="A11" s="8" t="s">
        <v>388</v>
      </c>
      <c r="B11" s="65" t="n">
        <f aca="false">UnitEconomics!B23</f>
        <v>25560</v>
      </c>
      <c r="C11" s="88" t="n">
        <f aca="false">IF($B$8=0,0,B11/$B$8)</f>
        <v>0.0426</v>
      </c>
      <c r="D11" s="69" t="s">
        <v>382</v>
      </c>
      <c r="E11" s="69" t="s">
        <v>389</v>
      </c>
      <c r="F11" s="8" t="s">
        <v>390</v>
      </c>
    </row>
    <row r="12" customFormat="false" ht="36" hidden="false" customHeight="true" outlineLevel="0" collapsed="false">
      <c r="A12" s="8" t="s">
        <v>391</v>
      </c>
      <c r="B12" s="65" t="n">
        <f aca="false">UnitEconomics!B24</f>
        <v>45000</v>
      </c>
      <c r="C12" s="88" t="n">
        <f aca="false">IF($B$8=0,0,B12/$B$8)</f>
        <v>0.075</v>
      </c>
      <c r="D12" s="69" t="s">
        <v>392</v>
      </c>
      <c r="E12" s="69" t="s">
        <v>393</v>
      </c>
      <c r="F12" s="8" t="s">
        <v>394</v>
      </c>
    </row>
    <row r="13" customFormat="false" ht="36" hidden="false" customHeight="true" outlineLevel="0" collapsed="false">
      <c r="A13" s="89" t="s">
        <v>395</v>
      </c>
      <c r="B13" s="60" t="n">
        <f aca="false">UnitEconomics!B25</f>
        <v>125295.172</v>
      </c>
      <c r="C13" s="88" t="n">
        <f aca="false">IF($B$8=0,0,B13/$B$8)</f>
        <v>0.208825286666667</v>
      </c>
      <c r="D13" s="69" t="s">
        <v>396</v>
      </c>
      <c r="E13" s="69" t="s">
        <v>378</v>
      </c>
      <c r="F13" s="8" t="s">
        <v>397</v>
      </c>
    </row>
    <row r="14" customFormat="false" ht="36" hidden="false" customHeight="true" outlineLevel="0" collapsed="false">
      <c r="A14" s="89" t="s">
        <v>348</v>
      </c>
      <c r="B14" s="60" t="n">
        <f aca="false">UnitEconomics!B31</f>
        <v>474704.828</v>
      </c>
      <c r="C14" s="88" t="n">
        <f aca="false">IF($B$8=0,0,B14/$B$8)</f>
        <v>0.791174713333333</v>
      </c>
      <c r="D14" s="69" t="s">
        <v>348</v>
      </c>
      <c r="E14" s="69" t="s">
        <v>378</v>
      </c>
      <c r="F14" s="8" t="s">
        <v>398</v>
      </c>
    </row>
    <row r="15" customFormat="false" ht="36" hidden="false" customHeight="true" outlineLevel="0" collapsed="false">
      <c r="A15" s="7" t="s">
        <v>349</v>
      </c>
      <c r="B15" s="85" t="n">
        <f aca="false">UnitEconomics!B32</f>
        <v>0.791174713333333</v>
      </c>
      <c r="C15" s="88" t="n">
        <f aca="false">B15</f>
        <v>0.791174713333333</v>
      </c>
      <c r="D15" s="69" t="s">
        <v>399</v>
      </c>
      <c r="E15" s="69" t="s">
        <v>378</v>
      </c>
      <c r="F15" s="8" t="s">
        <v>400</v>
      </c>
    </row>
    <row r="16" customFormat="false" ht="36" hidden="false" customHeight="true" outlineLevel="0" collapsed="false">
      <c r="A16" s="8" t="s">
        <v>401</v>
      </c>
      <c r="B16" s="65" t="n">
        <f aca="false">UnitEconomics!B34</f>
        <v>85000</v>
      </c>
      <c r="C16" s="88" t="n">
        <f aca="false">IF($B$8=0,0,B16/$B$8)</f>
        <v>0.141666666666667</v>
      </c>
      <c r="D16" s="69" t="s">
        <v>402</v>
      </c>
      <c r="E16" s="69" t="s">
        <v>383</v>
      </c>
      <c r="F16" s="8" t="s">
        <v>403</v>
      </c>
    </row>
    <row r="17" customFormat="false" ht="36" hidden="false" customHeight="true" outlineLevel="0" collapsed="false">
      <c r="A17" s="89" t="s">
        <v>352</v>
      </c>
      <c r="B17" s="60" t="n">
        <f aca="false">UnitEconomics!B35</f>
        <v>389704.828</v>
      </c>
      <c r="C17" s="88" t="n">
        <f aca="false">IF($B$8=0,0,B17/$B$8)</f>
        <v>0.649508046666667</v>
      </c>
      <c r="D17" s="69" t="s">
        <v>404</v>
      </c>
      <c r="E17" s="69" t="s">
        <v>378</v>
      </c>
      <c r="F17" s="8" t="s">
        <v>405</v>
      </c>
    </row>
    <row r="18" customFormat="false" ht="36" hidden="false" customHeight="true" outlineLevel="0" collapsed="false">
      <c r="A18" s="7" t="s">
        <v>353</v>
      </c>
      <c r="B18" s="85" t="n">
        <f aca="false">UnitEconomics!B36</f>
        <v>0.649508046666667</v>
      </c>
      <c r="C18" s="88" t="n">
        <f aca="false">B18</f>
        <v>0.649508046666667</v>
      </c>
      <c r="D18" s="69" t="s">
        <v>399</v>
      </c>
      <c r="E18" s="69" t="s">
        <v>378</v>
      </c>
      <c r="F18" s="8" t="s">
        <v>406</v>
      </c>
    </row>
    <row r="20" customFormat="false" ht="27.75" hidden="false" customHeight="true" outlineLevel="0" collapsed="false">
      <c r="A20" s="5" t="s">
        <v>407</v>
      </c>
      <c r="B20" s="5"/>
      <c r="C20" s="5"/>
      <c r="D20" s="5"/>
      <c r="E20" s="5"/>
      <c r="F20" s="5"/>
    </row>
  </sheetData>
  <mergeCells count="3">
    <mergeCell ref="A1:F1"/>
    <mergeCell ref="A2:F2"/>
    <mergeCell ref="A20:F20"/>
  </mergeCells>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&amp;LPLBridge</oddHeader>
    <oddFooter>&amp;LIllustrative management model — not a GAAP statement&amp;RPage &amp;P of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A4B08"/>
    <pageSetUpPr fitToPage="true"/>
  </sheetPr>
  <dimension ref="A1:O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1" width="18"/>
    <col collapsed="false" customWidth="true" hidden="false" outlineLevel="0" max="3" min="2" style="1" width="14"/>
    <col collapsed="false" customWidth="true" hidden="false" outlineLevel="0" max="6" min="4" style="1" width="12"/>
    <col collapsed="false" customWidth="true" hidden="false" outlineLevel="0" max="7" min="7" style="1" width="14"/>
    <col collapsed="false" customWidth="true" hidden="false" outlineLevel="0" max="11" min="8" style="1" width="16"/>
    <col collapsed="false" customWidth="true" hidden="false" outlineLevel="0" max="14" min="12" style="1" width="14"/>
    <col collapsed="false" customWidth="true" hidden="false" outlineLevel="0" max="15" min="15" style="1" width="52"/>
  </cols>
  <sheetData>
    <row r="1" customFormat="false" ht="21.75" hidden="false" customHeight="true" outlineLevel="0" collapsed="false">
      <c r="A1" s="26" t="s">
        <v>408</v>
      </c>
      <c r="B1" s="26"/>
      <c r="C1" s="26"/>
      <c r="D1" s="26"/>
      <c r="E1" s="26"/>
      <c r="F1" s="26"/>
      <c r="G1" s="26"/>
      <c r="H1" s="26"/>
      <c r="I1" s="26"/>
      <c r="J1" s="26"/>
      <c r="K1" s="26"/>
      <c r="L1" s="26"/>
      <c r="M1" s="26"/>
      <c r="N1" s="26"/>
      <c r="O1" s="26"/>
    </row>
    <row r="2" customFormat="false" ht="15" hidden="false" customHeight="true" outlineLevel="0" collapsed="false">
      <c r="A2" s="3" t="s">
        <v>409</v>
      </c>
      <c r="B2" s="3"/>
      <c r="C2" s="3"/>
      <c r="D2" s="3"/>
      <c r="E2" s="3"/>
      <c r="F2" s="3"/>
      <c r="G2" s="3"/>
      <c r="H2" s="3"/>
      <c r="I2" s="3"/>
      <c r="J2" s="3"/>
      <c r="K2" s="3"/>
      <c r="L2" s="3"/>
      <c r="M2" s="3"/>
      <c r="N2" s="3"/>
      <c r="O2" s="3"/>
    </row>
    <row r="4" customFormat="false" ht="24" hidden="false" customHeight="true" outlineLevel="0" collapsed="false">
      <c r="A4" s="5" t="s">
        <v>410</v>
      </c>
      <c r="B4" s="5"/>
      <c r="C4" s="5"/>
      <c r="D4" s="5"/>
      <c r="E4" s="5"/>
      <c r="F4" s="5"/>
      <c r="G4" s="5"/>
      <c r="H4" s="5"/>
      <c r="I4" s="5"/>
      <c r="J4" s="5"/>
      <c r="K4" s="5"/>
      <c r="L4" s="5"/>
      <c r="M4" s="5"/>
      <c r="N4" s="5"/>
      <c r="O4" s="5"/>
    </row>
    <row r="6" customFormat="false" ht="27.75" hidden="false" customHeight="true" outlineLevel="0" collapsed="false">
      <c r="A6" s="19" t="s">
        <v>116</v>
      </c>
      <c r="B6" s="19" t="s">
        <v>186</v>
      </c>
      <c r="C6" s="19" t="s">
        <v>187</v>
      </c>
      <c r="D6" s="19" t="s">
        <v>188</v>
      </c>
      <c r="E6" s="19" t="s">
        <v>98</v>
      </c>
      <c r="F6" s="19" t="s">
        <v>411</v>
      </c>
      <c r="G6" s="19" t="s">
        <v>117</v>
      </c>
      <c r="H6" s="19" t="s">
        <v>97</v>
      </c>
      <c r="I6" s="19" t="s">
        <v>99</v>
      </c>
      <c r="J6" s="19" t="s">
        <v>100</v>
      </c>
      <c r="K6" s="19" t="s">
        <v>94</v>
      </c>
      <c r="L6" s="19" t="s">
        <v>412</v>
      </c>
      <c r="M6" s="19" t="s">
        <v>118</v>
      </c>
      <c r="N6" s="19" t="s">
        <v>413</v>
      </c>
      <c r="O6" s="19" t="s">
        <v>414</v>
      </c>
    </row>
    <row r="7" customFormat="false" ht="24" hidden="false" customHeight="true" outlineLevel="0" collapsed="false">
      <c r="A7" s="38" t="str">
        <f aca="false">Assumptions!A42</f>
        <v>Base</v>
      </c>
      <c r="B7" s="63" t="n">
        <f aca="false">Assumptions!B42</f>
        <v>25000</v>
      </c>
      <c r="C7" s="64" t="n">
        <f aca="false">Assumptions!C42</f>
        <v>18</v>
      </c>
      <c r="D7" s="41" t="n">
        <f aca="false">Assumptions!D42</f>
        <v>0.92</v>
      </c>
      <c r="E7" s="65" t="n">
        <f aca="false">Engine!D28</f>
        <v>54735.172</v>
      </c>
      <c r="F7" s="90" t="n">
        <f aca="false">B7*C7*D7</f>
        <v>414000</v>
      </c>
      <c r="G7" s="83" t="n">
        <f aca="false">IF(F7=0,0,E7/F7)</f>
        <v>0.132210560386473</v>
      </c>
      <c r="H7" s="72" t="n">
        <f aca="false">B7*Assumptions!H42+F7*Assumptions!B14</f>
        <v>600000</v>
      </c>
      <c r="I7" s="72" t="n">
        <f aca="false">E7+F7*Assumptions!B32+(B7*C7-F7)*Assumptions!B33+B7*Assumptions!B34</f>
        <v>125295.172</v>
      </c>
      <c r="J7" s="60" t="n">
        <f aca="false">IF(Assumptions!B15="Yes",H7+F7*Assumptions!B25,H7)-I7</f>
        <v>474704.828</v>
      </c>
      <c r="K7" s="85" t="n">
        <f aca="false">IF((IF(Assumptions!B15="Yes",H7+F7*Assumptions!B25,H7))=0,0,J7/(IF(Assumptions!B15="Yes",H7+F7*Assumptions!B25,H7)))</f>
        <v>0.791174713333333</v>
      </c>
      <c r="L7" s="72" t="n">
        <f aca="false">F7*Assumptions!B25</f>
        <v>269100</v>
      </c>
      <c r="M7" s="86" t="n">
        <f aca="false">IF(E7=0,0,(L7-E7)/E7)</f>
        <v>3.9164000069279</v>
      </c>
      <c r="N7" s="80" t="n">
        <f aca="false">IF(F7=0,0,Assumptions!B25-G7)</f>
        <v>0.517789439613527</v>
      </c>
      <c r="O7" s="66" t="s">
        <v>415</v>
      </c>
    </row>
    <row r="8" customFormat="false" ht="24" hidden="false" customHeight="true" outlineLevel="0" collapsed="false">
      <c r="A8" s="38" t="str">
        <f aca="false">Assumptions!A43</f>
        <v>Growth</v>
      </c>
      <c r="B8" s="63" t="n">
        <f aca="false">Assumptions!B43</f>
        <v>75000</v>
      </c>
      <c r="C8" s="64" t="n">
        <f aca="false">Assumptions!C43</f>
        <v>20</v>
      </c>
      <c r="D8" s="41" t="n">
        <f aca="false">Assumptions!D43</f>
        <v>0.93</v>
      </c>
      <c r="E8" s="65" t="n">
        <f aca="false">Engine!D29</f>
        <v>173090.2745</v>
      </c>
      <c r="F8" s="90" t="n">
        <f aca="false">B8*C8*D8</f>
        <v>1395000</v>
      </c>
      <c r="G8" s="83" t="n">
        <f aca="false">IF(F8=0,0,E8/F8)</f>
        <v>0.124079049820789</v>
      </c>
      <c r="H8" s="72" t="n">
        <f aca="false">B8*Assumptions!H43+F8*Assumptions!B14</f>
        <v>1800000</v>
      </c>
      <c r="I8" s="72" t="n">
        <f aca="false">E8+F8*Assumptions!B32+(B8*C8-F8)*Assumptions!B33+B8*Assumptions!B34</f>
        <v>393890.2745</v>
      </c>
      <c r="J8" s="60" t="n">
        <f aca="false">IF(Assumptions!B15="Yes",H8+F8*Assumptions!B25,H8)-I8</f>
        <v>1406109.7255</v>
      </c>
      <c r="K8" s="85" t="n">
        <f aca="false">IF((IF(Assumptions!B15="Yes",H8+F8*Assumptions!B25,H8))=0,0,J8/(IF(Assumptions!B15="Yes",H8+F8*Assumptions!B25,H8)))</f>
        <v>0.781172069722222</v>
      </c>
      <c r="L8" s="72" t="n">
        <f aca="false">F8*Assumptions!B25</f>
        <v>906750</v>
      </c>
      <c r="M8" s="86" t="n">
        <f aca="false">IF(E8=0,0,(L8-E8)/E8)</f>
        <v>4.23859588656438</v>
      </c>
      <c r="N8" s="80" t="n">
        <f aca="false">IF(F8=0,0,Assumptions!B25-G8)</f>
        <v>0.525920950179212</v>
      </c>
      <c r="O8" s="66" t="s">
        <v>416</v>
      </c>
    </row>
    <row r="9" customFormat="false" ht="24" hidden="false" customHeight="true" outlineLevel="0" collapsed="false">
      <c r="A9" s="38" t="str">
        <f aca="false">Assumptions!A44</f>
        <v>Heavy-user tail</v>
      </c>
      <c r="B9" s="63" t="n">
        <f aca="false">Assumptions!B44</f>
        <v>25000</v>
      </c>
      <c r="C9" s="64" t="n">
        <f aca="false">Assumptions!C44</f>
        <v>32</v>
      </c>
      <c r="D9" s="41" t="n">
        <f aca="false">Assumptions!D44</f>
        <v>0.9</v>
      </c>
      <c r="E9" s="65" t="n">
        <f aca="false">Engine!D30</f>
        <v>97034.2</v>
      </c>
      <c r="F9" s="90" t="n">
        <f aca="false">B9*C9*D9</f>
        <v>720000</v>
      </c>
      <c r="G9" s="83" t="n">
        <f aca="false">IF(F9=0,0,E9/F9)</f>
        <v>0.134769722222222</v>
      </c>
      <c r="H9" s="72" t="n">
        <f aca="false">B9*Assumptions!H44+F9*Assumptions!B14</f>
        <v>600000</v>
      </c>
      <c r="I9" s="72" t="n">
        <f aca="false">E9+F9*Assumptions!B32+(B9*C9-F9)*Assumptions!B33+B9*Assumptions!B34</f>
        <v>186834.2</v>
      </c>
      <c r="J9" s="60" t="n">
        <f aca="false">IF(Assumptions!B15="Yes",H9+F9*Assumptions!B25,H9)-I9</f>
        <v>413165.8</v>
      </c>
      <c r="K9" s="85" t="n">
        <f aca="false">IF((IF(Assumptions!B15="Yes",H9+F9*Assumptions!B25,H9))=0,0,J9/(IF(Assumptions!B15="Yes",H9+F9*Assumptions!B25,H9)))</f>
        <v>0.688609666666667</v>
      </c>
      <c r="L9" s="72" t="n">
        <f aca="false">F9*Assumptions!B25</f>
        <v>468000</v>
      </c>
      <c r="M9" s="86" t="n">
        <f aca="false">IF(E9=0,0,(L9-E9)/E9)</f>
        <v>3.82304177290069</v>
      </c>
      <c r="N9" s="80" t="n">
        <f aca="false">IF(F9=0,0,Assumptions!B25-G9)</f>
        <v>0.515230277777778</v>
      </c>
      <c r="O9" s="66" t="s">
        <v>417</v>
      </c>
    </row>
    <row r="10" customFormat="false" ht="24" hidden="false" customHeight="true" outlineLevel="0" collapsed="false">
      <c r="A10" s="38" t="str">
        <f aca="false">Assumptions!A45</f>
        <v>Vendor +25%</v>
      </c>
      <c r="B10" s="63" t="n">
        <f aca="false">Assumptions!B45</f>
        <v>25000</v>
      </c>
      <c r="C10" s="64" t="n">
        <f aca="false">Assumptions!C45</f>
        <v>18</v>
      </c>
      <c r="D10" s="41" t="n">
        <f aca="false">Assumptions!D45</f>
        <v>0.92</v>
      </c>
      <c r="E10" s="65" t="n">
        <f aca="false">Engine!D31</f>
        <v>68268.965</v>
      </c>
      <c r="F10" s="90" t="n">
        <f aca="false">B10*C10*D10</f>
        <v>414000</v>
      </c>
      <c r="G10" s="83" t="n">
        <f aca="false">IF(F10=0,0,E10/F10)</f>
        <v>0.164900881642512</v>
      </c>
      <c r="H10" s="72" t="n">
        <f aca="false">B10*Assumptions!H45+F10*Assumptions!B14</f>
        <v>600000</v>
      </c>
      <c r="I10" s="72" t="n">
        <f aca="false">E10+F10*Assumptions!B32+(B10*C10-F10)*Assumptions!B33+B10*Assumptions!B34</f>
        <v>138828.965</v>
      </c>
      <c r="J10" s="60" t="n">
        <f aca="false">IF(Assumptions!B15="Yes",H10+F10*Assumptions!B25,H10)-I10</f>
        <v>461171.035</v>
      </c>
      <c r="K10" s="85" t="n">
        <f aca="false">IF((IF(Assumptions!B15="Yes",H10+F10*Assumptions!B25,H10))=0,0,J10/(IF(Assumptions!B15="Yes",H10+F10*Assumptions!B25,H10)))</f>
        <v>0.768618391666667</v>
      </c>
      <c r="L10" s="72" t="n">
        <f aca="false">F10*Assumptions!B25</f>
        <v>269100</v>
      </c>
      <c r="M10" s="86" t="n">
        <f aca="false">IF(E10=0,0,(L10-E10)/E10)</f>
        <v>2.94176182398547</v>
      </c>
      <c r="N10" s="80" t="n">
        <f aca="false">IF(F10=0,0,Assumptions!B25-G10)</f>
        <v>0.485099118357488</v>
      </c>
      <c r="O10" s="66" t="s">
        <v>418</v>
      </c>
    </row>
    <row r="11" customFormat="false" ht="24" hidden="false" customHeight="true" outlineLevel="0" collapsed="false">
      <c r="A11" s="38" t="str">
        <f aca="false">Assumptions!A46</f>
        <v>Efficiency</v>
      </c>
      <c r="B11" s="63" t="n">
        <f aca="false">Assumptions!B46</f>
        <v>25000</v>
      </c>
      <c r="C11" s="64" t="n">
        <f aca="false">Assumptions!C46</f>
        <v>18</v>
      </c>
      <c r="D11" s="41" t="n">
        <f aca="false">Assumptions!D46</f>
        <v>0.95</v>
      </c>
      <c r="E11" s="65" t="n">
        <f aca="false">Engine!D32</f>
        <v>52113.9839375</v>
      </c>
      <c r="F11" s="90" t="n">
        <f aca="false">B11*C11*D11</f>
        <v>427500</v>
      </c>
      <c r="G11" s="83" t="n">
        <f aca="false">IF(F11=0,0,E11/F11)</f>
        <v>0.121904055994152</v>
      </c>
      <c r="H11" s="72" t="n">
        <f aca="false">B11*Assumptions!H46+F11*Assumptions!B14</f>
        <v>600000</v>
      </c>
      <c r="I11" s="72" t="n">
        <f aca="false">E11+F11*Assumptions!B32+(B11*C11-F11)*Assumptions!B33+B11*Assumptions!B34</f>
        <v>123213.9839375</v>
      </c>
      <c r="J11" s="60" t="n">
        <f aca="false">IF(Assumptions!B15="Yes",H11+F11*Assumptions!B25,H11)-I11</f>
        <v>476786.0160625</v>
      </c>
      <c r="K11" s="85" t="n">
        <f aca="false">IF((IF(Assumptions!B15="Yes",H11+F11*Assumptions!B25,H11))=0,0,J11/(IF(Assumptions!B15="Yes",H11+F11*Assumptions!B25,H11)))</f>
        <v>0.794643360104167</v>
      </c>
      <c r="L11" s="72" t="n">
        <f aca="false">F11*Assumptions!B25</f>
        <v>277875</v>
      </c>
      <c r="M11" s="86" t="n">
        <f aca="false">IF(E11=0,0,(L11-E11)/E11)</f>
        <v>4.33206212622804</v>
      </c>
      <c r="N11" s="80" t="n">
        <f aca="false">IF(F11=0,0,Assumptions!B25-G11)</f>
        <v>0.528095944005848</v>
      </c>
      <c r="O11" s="66" t="s">
        <v>419</v>
      </c>
    </row>
    <row r="13" customFormat="false" ht="21.75" hidden="false" customHeight="true" outlineLevel="0" collapsed="false">
      <c r="A13" s="4" t="s">
        <v>420</v>
      </c>
      <c r="B13" s="4"/>
      <c r="C13" s="4"/>
      <c r="D13" s="4"/>
      <c r="E13" s="4"/>
      <c r="F13" s="4"/>
      <c r="G13" s="4"/>
      <c r="H13" s="4"/>
      <c r="I13" s="4"/>
      <c r="J13" s="4"/>
      <c r="K13" s="4"/>
      <c r="L13" s="4"/>
      <c r="M13" s="4"/>
      <c r="N13" s="4"/>
      <c r="O13" s="4"/>
    </row>
    <row r="14" customFormat="false" ht="15" hidden="false" customHeight="true" outlineLevel="0" collapsed="false">
      <c r="A14" s="55" t="s">
        <v>421</v>
      </c>
      <c r="B14" s="84" t="str">
        <f aca="false">IF(ABS(E7-UnitEconomics!B17)&lt;0.05,"OK","MISMATCH")</f>
        <v>OK</v>
      </c>
      <c r="D14" s="57" t="s">
        <v>422</v>
      </c>
    </row>
    <row r="15" customFormat="false" ht="15" hidden="false" customHeight="true" outlineLevel="0" collapsed="false">
      <c r="A15" s="55" t="s">
        <v>423</v>
      </c>
      <c r="B15" s="84" t="str">
        <f aca="false">IF(ABS(K7-UnitEconomics!B32)&lt;0.0005,"OK","MISMATCH")</f>
        <v>OK</v>
      </c>
    </row>
    <row r="16" customFormat="false" ht="15" hidden="false" customHeight="true" outlineLevel="0" collapsed="false">
      <c r="A16" s="55" t="s">
        <v>424</v>
      </c>
      <c r="B16" s="84" t="str">
        <f aca="false">IF(ABS(M7-UnitEconomics!B43)&lt;0.005,"OK","MISMATCH")</f>
        <v>OK</v>
      </c>
    </row>
  </sheetData>
  <mergeCells count="4">
    <mergeCell ref="A1:O1"/>
    <mergeCell ref="A2:O2"/>
    <mergeCell ref="A4:O4"/>
    <mergeCell ref="A13:O13"/>
  </mergeCells>
  <conditionalFormatting sqref="K7:K11">
    <cfRule type="colorScale" priority="2">
      <colorScale>
        <cfvo type="num" val="0.5"/>
        <cfvo type="num" val="0.75"/>
        <cfvo type="num" val="0.9"/>
        <color rgb="FFF8D7DA"/>
        <color rgb="FFFBE8D3"/>
        <color rgb="FFD7EAD3"/>
      </colorScale>
    </cfRule>
  </conditionalFormatting>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&amp;LScenarios</oddHeader>
    <oddFooter>&amp;LIllustrative management model — not a GAAP statement&amp;RPage &amp;P of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A4B08"/>
    <pageSetUpPr fitToPage="true"/>
  </sheetPr>
  <dimension ref="A1:F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5" min="2" style="1" width="16"/>
    <col collapsed="false" customWidth="true" hidden="false" outlineLevel="0" max="6" min="6" style="1" width="42"/>
    <col collapsed="false" customWidth="true" hidden="false" outlineLevel="0" max="10" min="7" style="1" width="16"/>
  </cols>
  <sheetData>
    <row r="1" customFormat="false" ht="21.75" hidden="false" customHeight="true" outlineLevel="0" collapsed="false">
      <c r="A1" s="26" t="s">
        <v>425</v>
      </c>
      <c r="B1" s="26"/>
      <c r="C1" s="26"/>
      <c r="D1" s="26"/>
      <c r="E1" s="26"/>
      <c r="F1" s="26"/>
    </row>
    <row r="2" customFormat="false" ht="48" hidden="false" customHeight="true" outlineLevel="0" collapsed="false">
      <c r="A2" s="91" t="s">
        <v>426</v>
      </c>
      <c r="B2" s="91"/>
      <c r="C2" s="91"/>
      <c r="D2" s="91"/>
      <c r="E2" s="91"/>
      <c r="F2" s="91"/>
    </row>
    <row r="4" customFormat="false" ht="21.75" hidden="false" customHeight="true" outlineLevel="0" collapsed="false">
      <c r="A4" s="4" t="s">
        <v>427</v>
      </c>
      <c r="B4" s="4"/>
      <c r="C4" s="4"/>
      <c r="D4" s="4"/>
      <c r="E4" s="4"/>
      <c r="F4" s="4"/>
    </row>
    <row r="5" customFormat="false" ht="15" hidden="false" customHeight="true" outlineLevel="0" collapsed="false">
      <c r="A5" s="55" t="s">
        <v>428</v>
      </c>
      <c r="B5" s="65" t="n">
        <f aca="false">Assumptions!B50</f>
        <v>100</v>
      </c>
    </row>
    <row r="6" customFormat="false" ht="15" hidden="false" customHeight="true" outlineLevel="0" collapsed="false">
      <c r="A6" s="55" t="s">
        <v>429</v>
      </c>
      <c r="B6" s="37" t="n">
        <f aca="false">Assumptions!B51</f>
        <v>0.002</v>
      </c>
    </row>
    <row r="7" customFormat="false" ht="15" hidden="false" customHeight="true" outlineLevel="0" collapsed="false">
      <c r="A7" s="55" t="s">
        <v>430</v>
      </c>
      <c r="B7" s="73" t="n">
        <f aca="false">Assumptions!B57</f>
        <v>50000</v>
      </c>
      <c r="C7" s="57" t="s">
        <v>431</v>
      </c>
    </row>
    <row r="9" customFormat="false" ht="21.75" hidden="false" customHeight="true" outlineLevel="0" collapsed="false">
      <c r="A9" s="4" t="s">
        <v>432</v>
      </c>
      <c r="B9" s="4"/>
      <c r="C9" s="4"/>
      <c r="D9" s="4"/>
      <c r="E9" s="4"/>
      <c r="F9" s="4"/>
    </row>
    <row r="10" customFormat="false" ht="27.75" hidden="false" customHeight="true" outlineLevel="0" collapsed="false">
      <c r="A10" s="19" t="s">
        <v>433</v>
      </c>
      <c r="B10" s="19" t="s">
        <v>434</v>
      </c>
      <c r="C10" s="19" t="s">
        <v>435</v>
      </c>
      <c r="D10" s="19" t="s">
        <v>100</v>
      </c>
      <c r="E10" s="19" t="s">
        <v>94</v>
      </c>
      <c r="F10" s="19" t="s">
        <v>436</v>
      </c>
    </row>
    <row r="11" customFormat="false" ht="15" hidden="false" customHeight="true" outlineLevel="0" collapsed="false">
      <c r="A11" s="20" t="s">
        <v>437</v>
      </c>
      <c r="B11" s="63" t="n">
        <f aca="false">Assumptions!B52</f>
        <v>10000</v>
      </c>
      <c r="C11" s="72" t="n">
        <f aca="false">B11*$B$6</f>
        <v>20</v>
      </c>
      <c r="D11" s="60" t="n">
        <f aca="false">$B$5-C11</f>
        <v>80</v>
      </c>
      <c r="E11" s="85" t="n">
        <f aca="false">IF($B$5=0,0,D11/$B$5)</f>
        <v>0.8</v>
      </c>
      <c r="F11" s="21" t="s">
        <v>438</v>
      </c>
    </row>
    <row r="12" customFormat="false" ht="15" hidden="false" customHeight="true" outlineLevel="0" collapsed="false">
      <c r="A12" s="20" t="s">
        <v>439</v>
      </c>
      <c r="B12" s="63" t="n">
        <f aca="false">Assumptions!B53</f>
        <v>50000</v>
      </c>
      <c r="C12" s="72" t="n">
        <f aca="false">B12*$B$6</f>
        <v>100</v>
      </c>
      <c r="D12" s="60" t="n">
        <f aca="false">$B$5-C12</f>
        <v>0</v>
      </c>
      <c r="E12" s="85" t="n">
        <f aca="false">IF($B$5=0,0,D12/$B$5)</f>
        <v>0</v>
      </c>
      <c r="F12" s="21" t="s">
        <v>440</v>
      </c>
    </row>
    <row r="13" customFormat="false" ht="15" hidden="false" customHeight="true" outlineLevel="0" collapsed="false">
      <c r="A13" s="20" t="s">
        <v>441</v>
      </c>
      <c r="B13" s="63" t="n">
        <f aca="false">Assumptions!B54</f>
        <v>100000</v>
      </c>
      <c r="C13" s="72" t="n">
        <f aca="false">B13*$B$6</f>
        <v>200</v>
      </c>
      <c r="D13" s="60" t="n">
        <f aca="false">$B$5-C13</f>
        <v>-100</v>
      </c>
      <c r="E13" s="85" t="n">
        <f aca="false">IF($B$5=0,0,D13/$B$5)</f>
        <v>-1</v>
      </c>
      <c r="F13" s="21" t="s">
        <v>442</v>
      </c>
    </row>
    <row r="15" customFormat="false" ht="21.75" hidden="false" customHeight="true" outlineLevel="0" collapsed="false">
      <c r="A15" s="4" t="s">
        <v>443</v>
      </c>
      <c r="B15" s="4"/>
      <c r="C15" s="4"/>
      <c r="D15" s="4"/>
      <c r="E15" s="4"/>
      <c r="F15" s="4"/>
    </row>
    <row r="16" customFormat="false" ht="27.75" hidden="false" customHeight="true" outlineLevel="0" collapsed="false">
      <c r="A16" s="19" t="s">
        <v>434</v>
      </c>
      <c r="B16" s="19" t="s">
        <v>371</v>
      </c>
      <c r="C16" s="19" t="s">
        <v>435</v>
      </c>
      <c r="D16" s="19" t="s">
        <v>100</v>
      </c>
      <c r="E16" s="19" t="s">
        <v>94</v>
      </c>
    </row>
    <row r="17" customFormat="false" ht="15" hidden="false" customHeight="true" outlineLevel="0" collapsed="false">
      <c r="A17" s="92" t="n">
        <f aca="false">Assumptions!B55</f>
        <v>0</v>
      </c>
      <c r="B17" s="72" t="n">
        <f aca="false">$B$5</f>
        <v>100</v>
      </c>
      <c r="C17" s="72" t="n">
        <f aca="false">A17*$B$6</f>
        <v>0</v>
      </c>
      <c r="D17" s="72" t="n">
        <f aca="false">B17-C17</f>
        <v>100</v>
      </c>
      <c r="E17" s="88" t="n">
        <f aca="false">IF(B17=0,0,D17/B17)</f>
        <v>1</v>
      </c>
    </row>
    <row r="18" customFormat="false" ht="15" hidden="false" customHeight="true" outlineLevel="0" collapsed="false">
      <c r="A18" s="92" t="n">
        <f aca="false">A17+Assumptions!$B$56</f>
        <v>5000</v>
      </c>
      <c r="B18" s="72" t="n">
        <f aca="false">$B$5</f>
        <v>100</v>
      </c>
      <c r="C18" s="72" t="n">
        <f aca="false">A18*$B$6</f>
        <v>10</v>
      </c>
      <c r="D18" s="72" t="n">
        <f aca="false">B18-C18</f>
        <v>90</v>
      </c>
      <c r="E18" s="88" t="n">
        <f aca="false">IF(B18=0,0,D18/B18)</f>
        <v>0.9</v>
      </c>
    </row>
    <row r="19" customFormat="false" ht="15" hidden="false" customHeight="true" outlineLevel="0" collapsed="false">
      <c r="A19" s="92" t="n">
        <f aca="false">A18+Assumptions!$B$56</f>
        <v>10000</v>
      </c>
      <c r="B19" s="72" t="n">
        <f aca="false">$B$5</f>
        <v>100</v>
      </c>
      <c r="C19" s="72" t="n">
        <f aca="false">A19*$B$6</f>
        <v>20</v>
      </c>
      <c r="D19" s="72" t="n">
        <f aca="false">B19-C19</f>
        <v>80</v>
      </c>
      <c r="E19" s="88" t="n">
        <f aca="false">IF(B19=0,0,D19/B19)</f>
        <v>0.8</v>
      </c>
    </row>
    <row r="20" customFormat="false" ht="15" hidden="false" customHeight="true" outlineLevel="0" collapsed="false">
      <c r="A20" s="92" t="n">
        <f aca="false">A19+Assumptions!$B$56</f>
        <v>15000</v>
      </c>
      <c r="B20" s="72" t="n">
        <f aca="false">$B$5</f>
        <v>100</v>
      </c>
      <c r="C20" s="72" t="n">
        <f aca="false">A20*$B$6</f>
        <v>30</v>
      </c>
      <c r="D20" s="72" t="n">
        <f aca="false">B20-C20</f>
        <v>70</v>
      </c>
      <c r="E20" s="88" t="n">
        <f aca="false">IF(B20=0,0,D20/B20)</f>
        <v>0.7</v>
      </c>
    </row>
    <row r="21" customFormat="false" ht="15" hidden="false" customHeight="true" outlineLevel="0" collapsed="false">
      <c r="A21" s="92" t="n">
        <f aca="false">A20+Assumptions!$B$56</f>
        <v>20000</v>
      </c>
      <c r="B21" s="72" t="n">
        <f aca="false">$B$5</f>
        <v>100</v>
      </c>
      <c r="C21" s="72" t="n">
        <f aca="false">A21*$B$6</f>
        <v>40</v>
      </c>
      <c r="D21" s="72" t="n">
        <f aca="false">B21-C21</f>
        <v>60</v>
      </c>
      <c r="E21" s="88" t="n">
        <f aca="false">IF(B21=0,0,D21/B21)</f>
        <v>0.6</v>
      </c>
    </row>
    <row r="22" customFormat="false" ht="15" hidden="false" customHeight="true" outlineLevel="0" collapsed="false">
      <c r="A22" s="92" t="n">
        <f aca="false">A21+Assumptions!$B$56</f>
        <v>25000</v>
      </c>
      <c r="B22" s="72" t="n">
        <f aca="false">$B$5</f>
        <v>100</v>
      </c>
      <c r="C22" s="72" t="n">
        <f aca="false">A22*$B$6</f>
        <v>50</v>
      </c>
      <c r="D22" s="72" t="n">
        <f aca="false">B22-C22</f>
        <v>50</v>
      </c>
      <c r="E22" s="88" t="n">
        <f aca="false">IF(B22=0,0,D22/B22)</f>
        <v>0.5</v>
      </c>
    </row>
    <row r="23" customFormat="false" ht="15" hidden="false" customHeight="true" outlineLevel="0" collapsed="false">
      <c r="A23" s="92" t="n">
        <f aca="false">A22+Assumptions!$B$56</f>
        <v>30000</v>
      </c>
      <c r="B23" s="72" t="n">
        <f aca="false">$B$5</f>
        <v>100</v>
      </c>
      <c r="C23" s="72" t="n">
        <f aca="false">A23*$B$6</f>
        <v>60</v>
      </c>
      <c r="D23" s="72" t="n">
        <f aca="false">B23-C23</f>
        <v>40</v>
      </c>
      <c r="E23" s="88" t="n">
        <f aca="false">IF(B23=0,0,D23/B23)</f>
        <v>0.4</v>
      </c>
    </row>
    <row r="24" customFormat="false" ht="15" hidden="false" customHeight="true" outlineLevel="0" collapsed="false">
      <c r="A24" s="92" t="n">
        <f aca="false">A23+Assumptions!$B$56</f>
        <v>35000</v>
      </c>
      <c r="B24" s="72" t="n">
        <f aca="false">$B$5</f>
        <v>100</v>
      </c>
      <c r="C24" s="72" t="n">
        <f aca="false">A24*$B$6</f>
        <v>70</v>
      </c>
      <c r="D24" s="72" t="n">
        <f aca="false">B24-C24</f>
        <v>30</v>
      </c>
      <c r="E24" s="88" t="n">
        <f aca="false">IF(B24=0,0,D24/B24)</f>
        <v>0.3</v>
      </c>
    </row>
    <row r="25" customFormat="false" ht="15" hidden="false" customHeight="true" outlineLevel="0" collapsed="false">
      <c r="A25" s="92" t="n">
        <f aca="false">A24+Assumptions!$B$56</f>
        <v>40000</v>
      </c>
      <c r="B25" s="72" t="n">
        <f aca="false">$B$5</f>
        <v>100</v>
      </c>
      <c r="C25" s="72" t="n">
        <f aca="false">A25*$B$6</f>
        <v>80</v>
      </c>
      <c r="D25" s="72" t="n">
        <f aca="false">B25-C25</f>
        <v>20</v>
      </c>
      <c r="E25" s="88" t="n">
        <f aca="false">IF(B25=0,0,D25/B25)</f>
        <v>0.2</v>
      </c>
    </row>
    <row r="26" customFormat="false" ht="15" hidden="false" customHeight="true" outlineLevel="0" collapsed="false">
      <c r="A26" s="92" t="n">
        <f aca="false">A25+Assumptions!$B$56</f>
        <v>45000</v>
      </c>
      <c r="B26" s="72" t="n">
        <f aca="false">$B$5</f>
        <v>100</v>
      </c>
      <c r="C26" s="72" t="n">
        <f aca="false">A26*$B$6</f>
        <v>90</v>
      </c>
      <c r="D26" s="72" t="n">
        <f aca="false">B26-C26</f>
        <v>10</v>
      </c>
      <c r="E26" s="88" t="n">
        <f aca="false">IF(B26=0,0,D26/B26)</f>
        <v>0.1</v>
      </c>
    </row>
    <row r="27" customFormat="false" ht="15" hidden="false" customHeight="true" outlineLevel="0" collapsed="false">
      <c r="A27" s="92" t="n">
        <f aca="false">A26+Assumptions!$B$56</f>
        <v>50000</v>
      </c>
      <c r="B27" s="72" t="n">
        <f aca="false">$B$5</f>
        <v>100</v>
      </c>
      <c r="C27" s="72" t="n">
        <f aca="false">A27*$B$6</f>
        <v>100</v>
      </c>
      <c r="D27" s="72" t="n">
        <f aca="false">B27-C27</f>
        <v>0</v>
      </c>
      <c r="E27" s="88" t="n">
        <f aca="false">IF(B27=0,0,D27/B27)</f>
        <v>0</v>
      </c>
    </row>
    <row r="28" customFormat="false" ht="15" hidden="false" customHeight="true" outlineLevel="0" collapsed="false">
      <c r="A28" s="92" t="n">
        <f aca="false">A27+Assumptions!$B$56</f>
        <v>55000</v>
      </c>
      <c r="B28" s="72" t="n">
        <f aca="false">$B$5</f>
        <v>100</v>
      </c>
      <c r="C28" s="72" t="n">
        <f aca="false">A28*$B$6</f>
        <v>110</v>
      </c>
      <c r="D28" s="72" t="n">
        <f aca="false">B28-C28</f>
        <v>-10</v>
      </c>
      <c r="E28" s="88" t="n">
        <f aca="false">IF(B28=0,0,D28/B28)</f>
        <v>-0.1</v>
      </c>
    </row>
    <row r="29" customFormat="false" ht="15" hidden="false" customHeight="true" outlineLevel="0" collapsed="false">
      <c r="A29" s="92" t="n">
        <f aca="false">A28+Assumptions!$B$56</f>
        <v>60000</v>
      </c>
      <c r="B29" s="72" t="n">
        <f aca="false">$B$5</f>
        <v>100</v>
      </c>
      <c r="C29" s="72" t="n">
        <f aca="false">A29*$B$6</f>
        <v>120</v>
      </c>
      <c r="D29" s="72" t="n">
        <f aca="false">B29-C29</f>
        <v>-20</v>
      </c>
      <c r="E29" s="88" t="n">
        <f aca="false">IF(B29=0,0,D29/B29)</f>
        <v>-0.2</v>
      </c>
    </row>
    <row r="30" customFormat="false" ht="15" hidden="false" customHeight="true" outlineLevel="0" collapsed="false">
      <c r="A30" s="92" t="n">
        <f aca="false">A29+Assumptions!$B$56</f>
        <v>65000</v>
      </c>
      <c r="B30" s="72" t="n">
        <f aca="false">$B$5</f>
        <v>100</v>
      </c>
      <c r="C30" s="72" t="n">
        <f aca="false">A30*$B$6</f>
        <v>130</v>
      </c>
      <c r="D30" s="72" t="n">
        <f aca="false">B30-C30</f>
        <v>-30</v>
      </c>
      <c r="E30" s="88" t="n">
        <f aca="false">IF(B30=0,0,D30/B30)</f>
        <v>-0.3</v>
      </c>
    </row>
    <row r="31" customFormat="false" ht="15" hidden="false" customHeight="true" outlineLevel="0" collapsed="false">
      <c r="A31" s="92" t="n">
        <f aca="false">A30+Assumptions!$B$56</f>
        <v>70000</v>
      </c>
      <c r="B31" s="72" t="n">
        <f aca="false">$B$5</f>
        <v>100</v>
      </c>
      <c r="C31" s="72" t="n">
        <f aca="false">A31*$B$6</f>
        <v>140</v>
      </c>
      <c r="D31" s="72" t="n">
        <f aca="false">B31-C31</f>
        <v>-40</v>
      </c>
      <c r="E31" s="88" t="n">
        <f aca="false">IF(B31=0,0,D31/B31)</f>
        <v>-0.4</v>
      </c>
    </row>
    <row r="32" customFormat="false" ht="15" hidden="false" customHeight="true" outlineLevel="0" collapsed="false">
      <c r="A32" s="92" t="n">
        <f aca="false">A31+Assumptions!$B$56</f>
        <v>75000</v>
      </c>
      <c r="B32" s="72" t="n">
        <f aca="false">$B$5</f>
        <v>100</v>
      </c>
      <c r="C32" s="72" t="n">
        <f aca="false">A32*$B$6</f>
        <v>150</v>
      </c>
      <c r="D32" s="72" t="n">
        <f aca="false">B32-C32</f>
        <v>-50</v>
      </c>
      <c r="E32" s="88" t="n">
        <f aca="false">IF(B32=0,0,D32/B32)</f>
        <v>-0.5</v>
      </c>
    </row>
    <row r="33" customFormat="false" ht="15" hidden="false" customHeight="true" outlineLevel="0" collapsed="false">
      <c r="A33" s="92" t="n">
        <f aca="false">A32+Assumptions!$B$56</f>
        <v>80000</v>
      </c>
      <c r="B33" s="72" t="n">
        <f aca="false">$B$5</f>
        <v>100</v>
      </c>
      <c r="C33" s="72" t="n">
        <f aca="false">A33*$B$6</f>
        <v>160</v>
      </c>
      <c r="D33" s="72" t="n">
        <f aca="false">B33-C33</f>
        <v>-60</v>
      </c>
      <c r="E33" s="88" t="n">
        <f aca="false">IF(B33=0,0,D33/B33)</f>
        <v>-0.6</v>
      </c>
    </row>
    <row r="34" customFormat="false" ht="15" hidden="false" customHeight="true" outlineLevel="0" collapsed="false">
      <c r="A34" s="92" t="n">
        <f aca="false">A33+Assumptions!$B$56</f>
        <v>85000</v>
      </c>
      <c r="B34" s="72" t="n">
        <f aca="false">$B$5</f>
        <v>100</v>
      </c>
      <c r="C34" s="72" t="n">
        <f aca="false">A34*$B$6</f>
        <v>170</v>
      </c>
      <c r="D34" s="72" t="n">
        <f aca="false">B34-C34</f>
        <v>-70</v>
      </c>
      <c r="E34" s="88" t="n">
        <f aca="false">IF(B34=0,0,D34/B34)</f>
        <v>-0.7</v>
      </c>
    </row>
    <row r="35" customFormat="false" ht="15" hidden="false" customHeight="true" outlineLevel="0" collapsed="false">
      <c r="A35" s="92" t="n">
        <f aca="false">A34+Assumptions!$B$56</f>
        <v>90000</v>
      </c>
      <c r="B35" s="72" t="n">
        <f aca="false">$B$5</f>
        <v>100</v>
      </c>
      <c r="C35" s="72" t="n">
        <f aca="false">A35*$B$6</f>
        <v>180</v>
      </c>
      <c r="D35" s="72" t="n">
        <f aca="false">B35-C35</f>
        <v>-80</v>
      </c>
      <c r="E35" s="88" t="n">
        <f aca="false">IF(B35=0,0,D35/B35)</f>
        <v>-0.8</v>
      </c>
    </row>
    <row r="36" customFormat="false" ht="15" hidden="false" customHeight="true" outlineLevel="0" collapsed="false">
      <c r="A36" s="92" t="n">
        <f aca="false">A35+Assumptions!$B$56</f>
        <v>95000</v>
      </c>
      <c r="B36" s="72" t="n">
        <f aca="false">$B$5</f>
        <v>100</v>
      </c>
      <c r="C36" s="72" t="n">
        <f aca="false">A36*$B$6</f>
        <v>190</v>
      </c>
      <c r="D36" s="72" t="n">
        <f aca="false">B36-C36</f>
        <v>-90</v>
      </c>
      <c r="E36" s="88" t="n">
        <f aca="false">IF(B36=0,0,D36/B36)</f>
        <v>-0.9</v>
      </c>
    </row>
    <row r="37" customFormat="false" ht="15" hidden="false" customHeight="true" outlineLevel="0" collapsed="false">
      <c r="A37" s="92" t="n">
        <f aca="false">A36+Assumptions!$B$56</f>
        <v>100000</v>
      </c>
      <c r="B37" s="72" t="n">
        <f aca="false">$B$5</f>
        <v>100</v>
      </c>
      <c r="C37" s="72" t="n">
        <f aca="false">A37*$B$6</f>
        <v>200</v>
      </c>
      <c r="D37" s="72" t="n">
        <f aca="false">B37-C37</f>
        <v>-100</v>
      </c>
      <c r="E37" s="88" t="n">
        <f aca="false">IF(B37=0,0,D37/B37)</f>
        <v>-1</v>
      </c>
    </row>
    <row r="39" customFormat="false" ht="31.5" hidden="false" customHeight="true" outlineLevel="0" collapsed="false">
      <c r="A39" s="24" t="s">
        <v>444</v>
      </c>
      <c r="B39" s="24"/>
      <c r="C39" s="24"/>
      <c r="D39" s="24"/>
      <c r="E39" s="24"/>
      <c r="F39" s="24"/>
    </row>
    <row r="41" customFormat="false" ht="21.75" hidden="false" customHeight="true" outlineLevel="0" collapsed="false">
      <c r="A41" s="43" t="s">
        <v>445</v>
      </c>
      <c r="B41" s="43"/>
      <c r="C41" s="43"/>
      <c r="D41" s="43"/>
      <c r="E41" s="43"/>
      <c r="F41" s="43"/>
    </row>
    <row r="42" customFormat="false" ht="31.5" hidden="false" customHeight="true" outlineLevel="0" collapsed="false">
      <c r="A42" s="46" t="s">
        <v>428</v>
      </c>
      <c r="B42" s="93" t="s">
        <v>446</v>
      </c>
      <c r="C42" s="93"/>
      <c r="D42" s="93"/>
      <c r="E42" s="93"/>
      <c r="F42" s="93"/>
    </row>
    <row r="43" customFormat="false" ht="31.5" hidden="false" customHeight="true" outlineLevel="0" collapsed="false">
      <c r="A43" s="48" t="s">
        <v>429</v>
      </c>
      <c r="B43" s="49" t="s">
        <v>447</v>
      </c>
      <c r="C43" s="49"/>
      <c r="D43" s="49"/>
      <c r="E43" s="49"/>
      <c r="F43" s="49"/>
    </row>
    <row r="44" customFormat="false" ht="31.5" hidden="false" customHeight="true" outlineLevel="0" collapsed="false">
      <c r="A44" s="46" t="s">
        <v>430</v>
      </c>
      <c r="B44" s="93" t="s">
        <v>448</v>
      </c>
      <c r="C44" s="93"/>
      <c r="D44" s="93"/>
      <c r="E44" s="93"/>
      <c r="F44" s="93"/>
    </row>
    <row r="45" customFormat="false" ht="31.5" hidden="false" customHeight="true" outlineLevel="0" collapsed="false">
      <c r="A45" s="48" t="s">
        <v>449</v>
      </c>
      <c r="B45" s="49" t="s">
        <v>450</v>
      </c>
      <c r="C45" s="49"/>
      <c r="D45" s="49"/>
      <c r="E45" s="49"/>
      <c r="F45" s="49"/>
    </row>
    <row r="46" customFormat="false" ht="31.5" hidden="false" customHeight="true" outlineLevel="0" collapsed="false">
      <c r="A46" s="46" t="s">
        <v>451</v>
      </c>
      <c r="B46" s="93" t="s">
        <v>452</v>
      </c>
      <c r="C46" s="93"/>
      <c r="D46" s="93"/>
      <c r="E46" s="93"/>
      <c r="F46" s="93"/>
    </row>
  </sheetData>
  <mergeCells count="12">
    <mergeCell ref="A1:F1"/>
    <mergeCell ref="A2:F2"/>
    <mergeCell ref="A4:F4"/>
    <mergeCell ref="A9:F9"/>
    <mergeCell ref="A15:F15"/>
    <mergeCell ref="A39:F39"/>
    <mergeCell ref="A41:F41"/>
    <mergeCell ref="B42:F42"/>
    <mergeCell ref="B43:F43"/>
    <mergeCell ref="B44:F44"/>
    <mergeCell ref="B45:F45"/>
    <mergeCell ref="B46:F46"/>
  </mergeCells>
  <conditionalFormatting sqref="D11:D13">
    <cfRule type="cellIs" priority="2" operator="lessThan" aboveAverage="0" equalAverage="0" bottom="0" percent="0" rank="0" text="" dxfId="0">
      <formula>0</formula>
    </cfRule>
    <cfRule type="cellIs" priority="3" operator="greaterThan" aboveAverage="0" equalAverage="0" bottom="0" percent="0" rank="0" text="" dxfId="1">
      <formula>0</formula>
    </cfRule>
  </conditionalFormatting>
  <printOptions headings="false" gridLines="false" gridLinesSet="true" horizontalCentered="false" verticalCentered="false"/>
  <pageMargins left="0.75" right="0.75" top="1" bottom="1" header="0.5" footer="0.5"/>
  <pageSetup paperSize="3" scale="100" fitToWidth="1" fitToHeight="0" pageOrder="downThenOver" orientation="landscape" blackAndWhite="false" draft="false" cellComments="none" horizontalDpi="300" verticalDpi="300" copies="1"/>
  <headerFooter differentFirst="false" differentOddEven="false">
    <oddHeader>&amp;LCrossover</oddHeader>
    <oddFooter>&amp;LIllustrative management model — not a GAAP statement&amp;RPage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2026-08-26T20:09:31Z</dcterms:created>
  <dc:creator>openpyxl</dc:creator>
  <dc:description/>
  <dc:language>en-US</dc:language>
  <cp:lastModifiedBy/>
  <dcterms:modified xsi:type="dcterms:W3CDTF">2026-08-26T20:28:51Z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